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https://d.docs.live.net/2d18325126a4caca/Documents/Working/Working@MERC/RE/RPO verification/CPP/CPP ^0 OA/Public Consultation/"/>
    </mc:Choice>
  </mc:AlternateContent>
  <xr:revisionPtr revIDLastSave="1163" documentId="13_ncr:1_{9BD73A3E-4BDE-4FAD-9E16-31EB6CE46171}" xr6:coauthVersionLast="47" xr6:coauthVersionMax="47" xr10:uidLastSave="{92F5A3CC-3BB5-4F8E-9144-B5EBC79BBE61}"/>
  <bookViews>
    <workbookView xWindow="-120" yWindow="-120" windowWidth="24240" windowHeight="13140" tabRatio="552" activeTab="1" xr2:uid="{00000000-000D-0000-FFFF-FFFF00000000}"/>
  </bookViews>
  <sheets>
    <sheet name="CPP " sheetId="2" r:id="rId1"/>
    <sheet name="OA Consumer" sheetId="1" r:id="rId2"/>
    <sheet name="Obligated OA Consumer (3)" sheetId="3" state="hidden" r:id="rId3"/>
  </sheets>
  <definedNames>
    <definedName name="_2Excel_BuiltIn_Print_Area_3_1" localSheetId="0">#REF!</definedName>
    <definedName name="_2Excel_BuiltIn_Print_Area_3_1" localSheetId="1">#REF!</definedName>
    <definedName name="_2Excel_BuiltIn_Print_Area_3_1" localSheetId="2">#REF!</definedName>
    <definedName name="_2Excel_BuiltIn_Print_Area_3_1">#REF!</definedName>
    <definedName name="_xlnm._FilterDatabase" localSheetId="0" hidden="1">'CPP '!$A$2:$T$216</definedName>
    <definedName name="_xlnm._FilterDatabase" localSheetId="1" hidden="1">'OA Consumer'!$A$2:$AD$723</definedName>
    <definedName name="_xlnm._FilterDatabase" localSheetId="2" hidden="1">'Obligated OA Consumer (3)'!$A$2:$AC$521</definedName>
    <definedName name="_xlnm.Print_Area" localSheetId="0">'CPP '!$A$1:$R$216</definedName>
    <definedName name="_xlnm.Print_Area" localSheetId="1">'OA Consumer'!$B$1:$S$723</definedName>
    <definedName name="_xlnm.Print_Area" localSheetId="2">'Obligated OA Consumer (3)'!$A$1:$P$521</definedName>
    <definedName name="_xlnm.Print_Titles" localSheetId="1">'OA Consumer'!$2:$4</definedName>
    <definedName name="_xlnm.Print_Titles" localSheetId="2">'Obligated OA Consumer (3)'!$2:$4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0" i="1" l="1"/>
  <c r="L291" i="1"/>
  <c r="Q291" i="1"/>
  <c r="Q292" i="1"/>
  <c r="O290" i="1"/>
  <c r="Q290" i="1"/>
  <c r="O291" i="1"/>
  <c r="P290" i="1"/>
  <c r="P292" i="1"/>
  <c r="P291" i="1"/>
  <c r="O78" i="2"/>
  <c r="G78" i="2"/>
  <c r="N78" i="2" s="1"/>
  <c r="P77" i="2"/>
  <c r="O77" i="2"/>
  <c r="N77" i="2"/>
  <c r="G77" i="2"/>
  <c r="O76" i="2"/>
  <c r="P76" i="2" s="1"/>
  <c r="N76" i="2"/>
  <c r="G76" i="2"/>
  <c r="O75" i="2"/>
  <c r="P75" i="2"/>
  <c r="N75" i="2"/>
  <c r="G75" i="2"/>
  <c r="G74" i="2"/>
  <c r="N74" i="2" s="1"/>
  <c r="J74" i="2"/>
  <c r="M74" i="2"/>
  <c r="P376" i="1"/>
  <c r="O377" i="1"/>
  <c r="O378" i="1"/>
  <c r="O379" i="1"/>
  <c r="O380" i="1"/>
  <c r="O376" i="1"/>
  <c r="K58" i="2"/>
  <c r="H58" i="2"/>
  <c r="N58" i="2" s="1"/>
  <c r="G58" i="2"/>
  <c r="F58" i="2"/>
  <c r="O125" i="2"/>
  <c r="O126" i="2"/>
  <c r="K126" i="2"/>
  <c r="K125" i="2"/>
  <c r="H126" i="2"/>
  <c r="H125" i="2"/>
  <c r="N125" i="2" s="1"/>
  <c r="P125" i="2" s="1"/>
  <c r="P128" i="1"/>
  <c r="Q128" i="1" s="1"/>
  <c r="P129" i="1"/>
  <c r="P130" i="1"/>
  <c r="L129" i="1"/>
  <c r="L128" i="1"/>
  <c r="L130" i="1"/>
  <c r="I129" i="1"/>
  <c r="I128" i="1"/>
  <c r="I130" i="1"/>
  <c r="P132" i="1"/>
  <c r="P133" i="1"/>
  <c r="P134" i="1"/>
  <c r="L134" i="1"/>
  <c r="L133" i="1"/>
  <c r="L132" i="1"/>
  <c r="I134" i="1"/>
  <c r="I133" i="1"/>
  <c r="I132" i="1"/>
  <c r="O354" i="1"/>
  <c r="P354" i="1"/>
  <c r="P558" i="1"/>
  <c r="L558" i="1"/>
  <c r="I558" i="1"/>
  <c r="I557" i="1"/>
  <c r="P557" i="1"/>
  <c r="L557" i="1"/>
  <c r="P556" i="1"/>
  <c r="L556" i="1"/>
  <c r="I556" i="1"/>
  <c r="P555" i="1"/>
  <c r="I555" i="1"/>
  <c r="L555" i="1"/>
  <c r="O11" i="2"/>
  <c r="O12" i="2"/>
  <c r="O13" i="2"/>
  <c r="O14" i="2"/>
  <c r="O15" i="2"/>
  <c r="O16" i="2"/>
  <c r="O17" i="2"/>
  <c r="O18" i="2"/>
  <c r="O19" i="2"/>
  <c r="O20" i="2"/>
  <c r="O21" i="2"/>
  <c r="O22" i="2"/>
  <c r="O23" i="2"/>
  <c r="G12" i="2"/>
  <c r="N12" i="2" s="1"/>
  <c r="G13" i="2"/>
  <c r="N13" i="2" s="1"/>
  <c r="P13" i="2" s="1"/>
  <c r="G14" i="2"/>
  <c r="N14" i="2" s="1"/>
  <c r="P14" i="2" s="1"/>
  <c r="G15" i="2"/>
  <c r="N15" i="2" s="1"/>
  <c r="P15" i="2" s="1"/>
  <c r="G16" i="2"/>
  <c r="N16" i="2" s="1"/>
  <c r="P16" i="2" s="1"/>
  <c r="G17" i="2"/>
  <c r="N17" i="2" s="1"/>
  <c r="P17" i="2" s="1"/>
  <c r="G18" i="2"/>
  <c r="N18" i="2" s="1"/>
  <c r="P18" i="2" s="1"/>
  <c r="G19" i="2"/>
  <c r="N19" i="2" s="1"/>
  <c r="G20" i="2"/>
  <c r="N20" i="2" s="1"/>
  <c r="P20" i="2" s="1"/>
  <c r="G21" i="2"/>
  <c r="N21" i="2" s="1"/>
  <c r="P21" i="2" s="1"/>
  <c r="G22" i="2"/>
  <c r="N22" i="2" s="1"/>
  <c r="P22" i="2" s="1"/>
  <c r="G23" i="2"/>
  <c r="N23" i="2" s="1"/>
  <c r="P23" i="2" s="1"/>
  <c r="G11" i="2"/>
  <c r="N11" i="2" s="1"/>
  <c r="U234" i="1"/>
  <c r="O133" i="1" l="1"/>
  <c r="O130" i="1"/>
  <c r="P78" i="2"/>
  <c r="O74" i="2"/>
  <c r="P74" i="2" s="1"/>
  <c r="N126" i="2"/>
  <c r="P126" i="2" s="1"/>
  <c r="P19" i="2"/>
  <c r="O129" i="1"/>
  <c r="Q129" i="1" s="1"/>
  <c r="Q130" i="1"/>
  <c r="O132" i="1"/>
  <c r="Q132" i="1" s="1"/>
  <c r="O556" i="1"/>
  <c r="Q556" i="1" s="1"/>
  <c r="Q133" i="1"/>
  <c r="O134" i="1"/>
  <c r="Q134" i="1" s="1"/>
  <c r="Q354" i="1"/>
  <c r="O557" i="1"/>
  <c r="Q557" i="1" s="1"/>
  <c r="O558" i="1"/>
  <c r="Q558" i="1" s="1"/>
  <c r="P11" i="2"/>
  <c r="O555" i="1"/>
  <c r="Q555" i="1" s="1"/>
  <c r="P12" i="2"/>
  <c r="P554" i="1"/>
  <c r="I554" i="1"/>
  <c r="L554" i="1"/>
  <c r="Q721" i="1"/>
  <c r="P720" i="1"/>
  <c r="O720" i="1"/>
  <c r="K95" i="1"/>
  <c r="K93" i="1"/>
  <c r="K92" i="1"/>
  <c r="P92" i="1" s="1"/>
  <c r="N44" i="1"/>
  <c r="K44" i="1"/>
  <c r="K42" i="1"/>
  <c r="I44" i="1"/>
  <c r="L44" i="1"/>
  <c r="I471" i="1"/>
  <c r="P397" i="1"/>
  <c r="P398" i="1"/>
  <c r="P399" i="1"/>
  <c r="P400" i="1"/>
  <c r="P401" i="1"/>
  <c r="O397" i="1"/>
  <c r="O398" i="1"/>
  <c r="O399" i="1"/>
  <c r="O400" i="1"/>
  <c r="O401" i="1"/>
  <c r="P204" i="1"/>
  <c r="O204" i="1"/>
  <c r="P202" i="1"/>
  <c r="P203" i="1"/>
  <c r="P613" i="1"/>
  <c r="L613" i="1"/>
  <c r="I613" i="1"/>
  <c r="P607" i="1"/>
  <c r="O607" i="1"/>
  <c r="P602" i="1"/>
  <c r="O602" i="1"/>
  <c r="Q525" i="1"/>
  <c r="Q524" i="1"/>
  <c r="Q523" i="1"/>
  <c r="Q522" i="1"/>
  <c r="Q521" i="1"/>
  <c r="Q520" i="1"/>
  <c r="P513" i="1"/>
  <c r="L513" i="1"/>
  <c r="I513" i="1"/>
  <c r="P501" i="1"/>
  <c r="O501" i="1"/>
  <c r="P499" i="1"/>
  <c r="O499" i="1"/>
  <c r="P498" i="1"/>
  <c r="O498" i="1"/>
  <c r="P497" i="1"/>
  <c r="O497" i="1"/>
  <c r="P496" i="1"/>
  <c r="O496" i="1"/>
  <c r="P495" i="1"/>
  <c r="O495" i="1"/>
  <c r="K329" i="1"/>
  <c r="K328" i="1"/>
  <c r="J328" i="1"/>
  <c r="K327" i="1"/>
  <c r="Q275" i="1"/>
  <c r="N245" i="1"/>
  <c r="P245" i="1" s="1"/>
  <c r="O245" i="1"/>
  <c r="P218" i="1"/>
  <c r="P219" i="1"/>
  <c r="P220" i="1"/>
  <c r="P221" i="1"/>
  <c r="P222" i="1"/>
  <c r="O218" i="1"/>
  <c r="O219" i="1"/>
  <c r="O220" i="1"/>
  <c r="O221" i="1"/>
  <c r="O222" i="1"/>
  <c r="P217" i="1"/>
  <c r="O217" i="1"/>
  <c r="P206" i="1"/>
  <c r="O206" i="1"/>
  <c r="P192" i="1"/>
  <c r="P193" i="1"/>
  <c r="O193" i="1"/>
  <c r="P196" i="1"/>
  <c r="P197" i="1"/>
  <c r="O197" i="1"/>
  <c r="P184" i="1"/>
  <c r="O184" i="1"/>
  <c r="P177" i="1"/>
  <c r="P178" i="1"/>
  <c r="O177" i="1"/>
  <c r="O178" i="1"/>
  <c r="N166" i="1"/>
  <c r="L166" i="1"/>
  <c r="K166" i="1"/>
  <c r="I166" i="1"/>
  <c r="N165" i="1"/>
  <c r="L165" i="1"/>
  <c r="K165" i="1"/>
  <c r="I165" i="1"/>
  <c r="P169" i="1"/>
  <c r="P170" i="1"/>
  <c r="P124" i="1"/>
  <c r="O118" i="1"/>
  <c r="P118" i="1"/>
  <c r="P108" i="1"/>
  <c r="P109" i="1"/>
  <c r="N97" i="1"/>
  <c r="K97" i="1"/>
  <c r="L97" i="1"/>
  <c r="I97" i="1"/>
  <c r="P96" i="1"/>
  <c r="L96" i="1"/>
  <c r="I96" i="1"/>
  <c r="P91" i="1"/>
  <c r="I91" i="1"/>
  <c r="L91" i="1"/>
  <c r="I92" i="1"/>
  <c r="L92" i="1"/>
  <c r="I271" i="1"/>
  <c r="L271" i="1"/>
  <c r="O64" i="2"/>
  <c r="O63" i="2"/>
  <c r="Q232" i="1"/>
  <c r="Q233" i="1"/>
  <c r="Q234" i="1"/>
  <c r="Q235" i="1"/>
  <c r="Q236" i="1"/>
  <c r="L108" i="1"/>
  <c r="O108" i="1" s="1"/>
  <c r="Q717" i="1"/>
  <c r="Q718" i="1"/>
  <c r="P714" i="1"/>
  <c r="Q714" i="1" s="1"/>
  <c r="P713" i="1"/>
  <c r="Q713" i="1" s="1"/>
  <c r="P712" i="1"/>
  <c r="Q712" i="1" s="1"/>
  <c r="P711" i="1"/>
  <c r="Q711" i="1" s="1"/>
  <c r="P710" i="1"/>
  <c r="Q710" i="1" s="1"/>
  <c r="P709" i="1"/>
  <c r="Q709" i="1" s="1"/>
  <c r="Q701" i="1"/>
  <c r="Q702" i="1"/>
  <c r="Q697" i="1"/>
  <c r="Q698" i="1"/>
  <c r="Q694" i="1"/>
  <c r="Q693" i="1"/>
  <c r="Q689" i="1"/>
  <c r="Q690" i="1"/>
  <c r="Q686" i="1"/>
  <c r="Q685" i="1"/>
  <c r="I62" i="1"/>
  <c r="N159" i="2"/>
  <c r="N160" i="2"/>
  <c r="N161" i="2"/>
  <c r="N162" i="2"/>
  <c r="N163" i="2"/>
  <c r="N164" i="2"/>
  <c r="M164" i="2"/>
  <c r="M163" i="2"/>
  <c r="M162" i="2"/>
  <c r="M161" i="2"/>
  <c r="J164" i="2"/>
  <c r="J163" i="2"/>
  <c r="J162" i="2"/>
  <c r="J161" i="2"/>
  <c r="P460" i="1"/>
  <c r="Q588" i="1"/>
  <c r="Q589" i="1"/>
  <c r="Q590" i="1"/>
  <c r="L45" i="1"/>
  <c r="P641" i="1"/>
  <c r="P640" i="1"/>
  <c r="I641" i="1"/>
  <c r="L641" i="1"/>
  <c r="I640" i="1"/>
  <c r="L640" i="1"/>
  <c r="I489" i="1"/>
  <c r="L489" i="1"/>
  <c r="I465" i="1"/>
  <c r="L465" i="1"/>
  <c r="L663" i="1"/>
  <c r="N159" i="1"/>
  <c r="L159" i="1"/>
  <c r="K159" i="1"/>
  <c r="I159" i="1"/>
  <c r="I536" i="1"/>
  <c r="L536" i="1"/>
  <c r="L192" i="1"/>
  <c r="O192" i="1" s="1"/>
  <c r="O647" i="1"/>
  <c r="M213" i="2"/>
  <c r="M212" i="2"/>
  <c r="M211" i="2"/>
  <c r="I676" i="1"/>
  <c r="L676" i="1"/>
  <c r="I196" i="1"/>
  <c r="L196" i="1"/>
  <c r="Q356" i="1"/>
  <c r="O274" i="1"/>
  <c r="Q274" i="1" s="1"/>
  <c r="O243" i="1"/>
  <c r="Q243" i="1" s="1"/>
  <c r="L124" i="1"/>
  <c r="O124" i="1" s="1"/>
  <c r="L472" i="1"/>
  <c r="O472" i="1" s="1"/>
  <c r="Q472" i="1" s="1"/>
  <c r="L471" i="1"/>
  <c r="Q362" i="1"/>
  <c r="Q363" i="1"/>
  <c r="Q364" i="1"/>
  <c r="Q365" i="1"/>
  <c r="P99" i="2"/>
  <c r="P100" i="2"/>
  <c r="P101" i="2"/>
  <c r="P102" i="2"/>
  <c r="Q255" i="1"/>
  <c r="I547" i="1"/>
  <c r="L547" i="1"/>
  <c r="P346" i="1"/>
  <c r="L346" i="1"/>
  <c r="O346" i="1" s="1"/>
  <c r="Q628" i="1"/>
  <c r="Q629" i="1"/>
  <c r="Q630" i="1"/>
  <c r="Q631" i="1"/>
  <c r="Q632" i="1"/>
  <c r="Q305" i="1"/>
  <c r="Q306" i="1"/>
  <c r="Q307" i="1"/>
  <c r="Q308" i="1"/>
  <c r="Q309" i="1"/>
  <c r="Q310" i="1"/>
  <c r="I203" i="1"/>
  <c r="L203" i="1"/>
  <c r="I202" i="1"/>
  <c r="L202" i="1"/>
  <c r="I181" i="1"/>
  <c r="P83" i="1"/>
  <c r="Q83" i="1" s="1"/>
  <c r="P82" i="1"/>
  <c r="Q82" i="1" s="1"/>
  <c r="P81" i="1"/>
  <c r="Q81" i="1" s="1"/>
  <c r="P80" i="1"/>
  <c r="Q80" i="1" s="1"/>
  <c r="K614" i="1"/>
  <c r="Q33" i="1"/>
  <c r="Q34" i="1"/>
  <c r="O169" i="1"/>
  <c r="P434" i="1"/>
  <c r="Q434" i="1" s="1"/>
  <c r="Q435" i="1"/>
  <c r="Q436" i="1"/>
  <c r="Q50" i="1"/>
  <c r="Q49" i="1"/>
  <c r="I47" i="1"/>
  <c r="P54" i="2"/>
  <c r="P55" i="2"/>
  <c r="P56" i="2"/>
  <c r="P57" i="2"/>
  <c r="J10" i="2"/>
  <c r="G113" i="2"/>
  <c r="N113" i="2" s="1"/>
  <c r="J113" i="2"/>
  <c r="O113" i="2" s="1"/>
  <c r="H191" i="2"/>
  <c r="G216" i="2"/>
  <c r="N216" i="2" s="1"/>
  <c r="G199" i="2"/>
  <c r="N199" i="2" s="1"/>
  <c r="G41" i="2"/>
  <c r="N41" i="2" s="1"/>
  <c r="G176" i="2"/>
  <c r="N176" i="2" s="1"/>
  <c r="G110" i="2"/>
  <c r="N110" i="2" s="1"/>
  <c r="G156" i="2"/>
  <c r="N156" i="2" s="1"/>
  <c r="G149" i="2"/>
  <c r="N149" i="2" s="1"/>
  <c r="G160" i="2"/>
  <c r="G90" i="2"/>
  <c r="N90" i="2" s="1"/>
  <c r="G130" i="2"/>
  <c r="N130" i="2" s="1"/>
  <c r="G122" i="2"/>
  <c r="N122" i="2" s="1"/>
  <c r="G179" i="2"/>
  <c r="N179" i="2" s="1"/>
  <c r="G146" i="2"/>
  <c r="N146" i="2" s="1"/>
  <c r="G138" i="2"/>
  <c r="N138" i="2" s="1"/>
  <c r="G204" i="2"/>
  <c r="N204" i="2" s="1"/>
  <c r="Q720" i="1" l="1"/>
  <c r="O554" i="1"/>
  <c r="Q554" i="1"/>
  <c r="O44" i="1"/>
  <c r="P44" i="1"/>
  <c r="O471" i="1"/>
  <c r="Q471" i="1" s="1"/>
  <c r="Q400" i="1"/>
  <c r="Q399" i="1"/>
  <c r="Q398" i="1"/>
  <c r="Q401" i="1"/>
  <c r="Q397" i="1"/>
  <c r="Q204" i="1"/>
  <c r="Q497" i="1"/>
  <c r="O513" i="1"/>
  <c r="Q513" i="1" s="1"/>
  <c r="Q495" i="1"/>
  <c r="O613" i="1"/>
  <c r="Q613" i="1" s="1"/>
  <c r="Q602" i="1"/>
  <c r="Q124" i="1"/>
  <c r="Q218" i="1"/>
  <c r="Q607" i="1"/>
  <c r="Q221" i="1"/>
  <c r="Q222" i="1"/>
  <c r="Q219" i="1"/>
  <c r="Q192" i="1"/>
  <c r="O196" i="1"/>
  <c r="Q196" i="1" s="1"/>
  <c r="Q197" i="1"/>
  <c r="Q178" i="1"/>
  <c r="Q184" i="1"/>
  <c r="Q206" i="1"/>
  <c r="P165" i="1"/>
  <c r="P166" i="1"/>
  <c r="Q177" i="1"/>
  <c r="Q193" i="1"/>
  <c r="Q220" i="1"/>
  <c r="Q217" i="1"/>
  <c r="Q118" i="1"/>
  <c r="O165" i="1"/>
  <c r="O166" i="1"/>
  <c r="Q245" i="1"/>
  <c r="P97" i="1"/>
  <c r="O92" i="1"/>
  <c r="Q92" i="1" s="1"/>
  <c r="O97" i="1"/>
  <c r="O96" i="1"/>
  <c r="Q96" i="1" s="1"/>
  <c r="O91" i="1"/>
  <c r="Q91" i="1" s="1"/>
  <c r="O271" i="1"/>
  <c r="O162" i="2"/>
  <c r="O163" i="2"/>
  <c r="P163" i="2" s="1"/>
  <c r="O161" i="2"/>
  <c r="P161" i="2" s="1"/>
  <c r="O164" i="2"/>
  <c r="P164" i="2" s="1"/>
  <c r="P162" i="2"/>
  <c r="O109" i="1"/>
  <c r="Q45" i="1"/>
  <c r="O641" i="1"/>
  <c r="Q641" i="1" s="1"/>
  <c r="P159" i="1"/>
  <c r="O640" i="1"/>
  <c r="Q640" i="1" s="1"/>
  <c r="O465" i="1"/>
  <c r="Q465" i="1" s="1"/>
  <c r="O159" i="1"/>
  <c r="O536" i="1"/>
  <c r="O676" i="1"/>
  <c r="Q676" i="1" s="1"/>
  <c r="O203" i="1"/>
  <c r="Q203" i="1" s="1"/>
  <c r="O202" i="1"/>
  <c r="Q202" i="1" s="1"/>
  <c r="O170" i="1"/>
  <c r="P113" i="2"/>
  <c r="G47" i="2"/>
  <c r="N47" i="2" s="1"/>
  <c r="G114" i="2"/>
  <c r="N114" i="2" s="1"/>
  <c r="G94" i="2"/>
  <c r="N94" i="2" s="1"/>
  <c r="G187" i="2"/>
  <c r="N187" i="2" s="1"/>
  <c r="G10" i="2"/>
  <c r="N10" i="2" s="1"/>
  <c r="G106" i="2"/>
  <c r="N106" i="2" s="1"/>
  <c r="G98" i="2"/>
  <c r="N98" i="2" s="1"/>
  <c r="G168" i="2"/>
  <c r="H209" i="2"/>
  <c r="G215" i="2"/>
  <c r="N215" i="2" s="1"/>
  <c r="G52" i="2"/>
  <c r="N52" i="2" s="1"/>
  <c r="G73" i="2"/>
  <c r="N73" i="2" s="1"/>
  <c r="G40" i="2"/>
  <c r="N40" i="2" s="1"/>
  <c r="G175" i="2"/>
  <c r="N175" i="2" s="1"/>
  <c r="G109" i="2"/>
  <c r="N109" i="2" s="1"/>
  <c r="G155" i="2"/>
  <c r="N155" i="2" s="1"/>
  <c r="G148" i="2"/>
  <c r="N148" i="2" s="1"/>
  <c r="G159" i="2"/>
  <c r="G89" i="2"/>
  <c r="N89" i="2" s="1"/>
  <c r="G129" i="2"/>
  <c r="N129" i="2" s="1"/>
  <c r="G121" i="2"/>
  <c r="N121" i="2" s="1"/>
  <c r="G178" i="2"/>
  <c r="N178" i="2" s="1"/>
  <c r="G145" i="2"/>
  <c r="N145" i="2" s="1"/>
  <c r="G137" i="2"/>
  <c r="N137" i="2" s="1"/>
  <c r="G203" i="2"/>
  <c r="N203" i="2" s="1"/>
  <c r="G46" i="2"/>
  <c r="N46" i="2" s="1"/>
  <c r="G93" i="2"/>
  <c r="N93" i="2" s="1"/>
  <c r="G186" i="2"/>
  <c r="N186" i="2" s="1"/>
  <c r="G9" i="2"/>
  <c r="N9" i="2" s="1"/>
  <c r="G105" i="2"/>
  <c r="N105" i="2" s="1"/>
  <c r="G97" i="2"/>
  <c r="N97" i="2" s="1"/>
  <c r="G167" i="2"/>
  <c r="N167" i="2" s="1"/>
  <c r="Q44" i="1" l="1"/>
  <c r="Q97" i="1"/>
  <c r="Q166" i="1"/>
  <c r="Q165" i="1"/>
  <c r="Q159" i="1"/>
  <c r="K208" i="2"/>
  <c r="H208" i="2"/>
  <c r="M208" i="2"/>
  <c r="J208" i="2"/>
  <c r="M207" i="2"/>
  <c r="K207" i="2"/>
  <c r="J207" i="2"/>
  <c r="H207" i="2"/>
  <c r="O208" i="2" l="1"/>
  <c r="G208" i="2"/>
  <c r="N208" i="2"/>
  <c r="O207" i="2"/>
  <c r="N207" i="2"/>
  <c r="G207" i="2"/>
  <c r="O521" i="3"/>
  <c r="K521" i="3"/>
  <c r="H521" i="3"/>
  <c r="N521" i="3" s="1"/>
  <c r="O520" i="3"/>
  <c r="K520" i="3"/>
  <c r="H520" i="3"/>
  <c r="M519" i="3"/>
  <c r="K519" i="3"/>
  <c r="J519" i="3"/>
  <c r="H519" i="3"/>
  <c r="O518" i="3"/>
  <c r="K518" i="3"/>
  <c r="H518" i="3"/>
  <c r="N518" i="3" s="1"/>
  <c r="O517" i="3"/>
  <c r="K517" i="3"/>
  <c r="H517" i="3"/>
  <c r="O516" i="3"/>
  <c r="K516" i="3"/>
  <c r="H516" i="3"/>
  <c r="N516" i="3" s="1"/>
  <c r="P516" i="3" s="1"/>
  <c r="O515" i="3"/>
  <c r="K515" i="3"/>
  <c r="H515" i="3"/>
  <c r="O514" i="3"/>
  <c r="G514" i="3"/>
  <c r="K514" i="3" s="1"/>
  <c r="O513" i="3"/>
  <c r="K513" i="3"/>
  <c r="H513" i="3"/>
  <c r="N513" i="3" s="1"/>
  <c r="O512" i="3"/>
  <c r="K512" i="3"/>
  <c r="H512" i="3"/>
  <c r="O511" i="3"/>
  <c r="K511" i="3"/>
  <c r="H511" i="3"/>
  <c r="O510" i="3"/>
  <c r="K510" i="3"/>
  <c r="H510" i="3"/>
  <c r="O509" i="3"/>
  <c r="K509" i="3"/>
  <c r="H509" i="3"/>
  <c r="N509" i="3" s="1"/>
  <c r="O508" i="3"/>
  <c r="K508" i="3"/>
  <c r="H508" i="3"/>
  <c r="O507" i="3"/>
  <c r="K507" i="3"/>
  <c r="H507" i="3"/>
  <c r="O506" i="3"/>
  <c r="K506" i="3"/>
  <c r="H506" i="3"/>
  <c r="O505" i="3"/>
  <c r="K505" i="3"/>
  <c r="H505" i="3"/>
  <c r="N505" i="3" s="1"/>
  <c r="O504" i="3"/>
  <c r="K504" i="3"/>
  <c r="H504" i="3"/>
  <c r="O503" i="3"/>
  <c r="K503" i="3"/>
  <c r="H503" i="3"/>
  <c r="O502" i="3"/>
  <c r="K502" i="3"/>
  <c r="H502" i="3"/>
  <c r="O501" i="3"/>
  <c r="K501" i="3"/>
  <c r="H501" i="3"/>
  <c r="N501" i="3" s="1"/>
  <c r="O500" i="3"/>
  <c r="K500" i="3"/>
  <c r="H500" i="3"/>
  <c r="O499" i="3"/>
  <c r="K499" i="3"/>
  <c r="H499" i="3"/>
  <c r="O498" i="3"/>
  <c r="G498" i="3"/>
  <c r="K498" i="3" s="1"/>
  <c r="M497" i="3"/>
  <c r="K497" i="3"/>
  <c r="J497" i="3"/>
  <c r="O497" i="3" s="1"/>
  <c r="H497" i="3"/>
  <c r="O496" i="3"/>
  <c r="K496" i="3"/>
  <c r="H496" i="3"/>
  <c r="M495" i="3"/>
  <c r="K495" i="3"/>
  <c r="J495" i="3"/>
  <c r="H495" i="3"/>
  <c r="M494" i="3"/>
  <c r="K494" i="3"/>
  <c r="J494" i="3"/>
  <c r="H494" i="3"/>
  <c r="N494" i="3" s="1"/>
  <c r="O493" i="3"/>
  <c r="K493" i="3"/>
  <c r="H493" i="3"/>
  <c r="N493" i="3" s="1"/>
  <c r="P493" i="3" s="1"/>
  <c r="M492" i="3"/>
  <c r="K492" i="3"/>
  <c r="J492" i="3"/>
  <c r="O492" i="3" s="1"/>
  <c r="H492" i="3"/>
  <c r="O491" i="3"/>
  <c r="K491" i="3"/>
  <c r="H491" i="3"/>
  <c r="O490" i="3"/>
  <c r="K490" i="3"/>
  <c r="H490" i="3"/>
  <c r="N490" i="3" s="1"/>
  <c r="O489" i="3"/>
  <c r="K489" i="3"/>
  <c r="H489" i="3"/>
  <c r="O488" i="3"/>
  <c r="K488" i="3"/>
  <c r="H488" i="3"/>
  <c r="M487" i="3"/>
  <c r="K487" i="3"/>
  <c r="J487" i="3"/>
  <c r="H487" i="3"/>
  <c r="O486" i="3"/>
  <c r="K486" i="3"/>
  <c r="H486" i="3"/>
  <c r="M485" i="3"/>
  <c r="K485" i="3"/>
  <c r="J485" i="3"/>
  <c r="O485" i="3" s="1"/>
  <c r="H485" i="3"/>
  <c r="N485" i="3" s="1"/>
  <c r="M484" i="3"/>
  <c r="K484" i="3"/>
  <c r="J484" i="3"/>
  <c r="O484" i="3" s="1"/>
  <c r="H484" i="3"/>
  <c r="N484" i="3" s="1"/>
  <c r="M483" i="3"/>
  <c r="O483" i="3" s="1"/>
  <c r="G483" i="3"/>
  <c r="K483" i="3" s="1"/>
  <c r="K482" i="3"/>
  <c r="J482" i="3"/>
  <c r="O482" i="3" s="1"/>
  <c r="H482" i="3"/>
  <c r="N482" i="3" s="1"/>
  <c r="P482" i="3" s="1"/>
  <c r="M481" i="3"/>
  <c r="K481" i="3"/>
  <c r="J481" i="3"/>
  <c r="O481" i="3" s="1"/>
  <c r="H481" i="3"/>
  <c r="O480" i="3"/>
  <c r="K480" i="3"/>
  <c r="H480" i="3"/>
  <c r="M479" i="3"/>
  <c r="K479" i="3"/>
  <c r="J479" i="3"/>
  <c r="H479" i="3"/>
  <c r="N479" i="3" s="1"/>
  <c r="M478" i="3"/>
  <c r="K478" i="3"/>
  <c r="J478" i="3"/>
  <c r="O478" i="3" s="1"/>
  <c r="H478" i="3"/>
  <c r="N478" i="3" s="1"/>
  <c r="M477" i="3"/>
  <c r="K477" i="3"/>
  <c r="J477" i="3"/>
  <c r="O477" i="3" s="1"/>
  <c r="H477" i="3"/>
  <c r="N477" i="3" s="1"/>
  <c r="M476" i="3"/>
  <c r="J476" i="3"/>
  <c r="G476" i="3"/>
  <c r="K476" i="3" s="1"/>
  <c r="M475" i="3"/>
  <c r="K475" i="3"/>
  <c r="J475" i="3"/>
  <c r="H475" i="3"/>
  <c r="N475" i="3" s="1"/>
  <c r="O474" i="3"/>
  <c r="K474" i="3"/>
  <c r="H474" i="3"/>
  <c r="O473" i="3"/>
  <c r="K473" i="3"/>
  <c r="H473" i="3"/>
  <c r="N473" i="3" s="1"/>
  <c r="M472" i="3"/>
  <c r="K472" i="3"/>
  <c r="J472" i="3"/>
  <c r="O472" i="3" s="1"/>
  <c r="H472" i="3"/>
  <c r="N472" i="3" s="1"/>
  <c r="P472" i="3" s="1"/>
  <c r="M471" i="3"/>
  <c r="K471" i="3"/>
  <c r="J471" i="3"/>
  <c r="O471" i="3" s="1"/>
  <c r="H471" i="3"/>
  <c r="M470" i="3"/>
  <c r="K470" i="3"/>
  <c r="J470" i="3"/>
  <c r="O470" i="3" s="1"/>
  <c r="H470" i="3"/>
  <c r="O469" i="3"/>
  <c r="K469" i="3"/>
  <c r="H469" i="3"/>
  <c r="N469" i="3" s="1"/>
  <c r="P469" i="3" s="1"/>
  <c r="M468" i="3"/>
  <c r="K468" i="3"/>
  <c r="J468" i="3"/>
  <c r="O468" i="3" s="1"/>
  <c r="H468" i="3"/>
  <c r="N468" i="3" s="1"/>
  <c r="O467" i="3"/>
  <c r="K467" i="3"/>
  <c r="H467" i="3"/>
  <c r="N467" i="3" s="1"/>
  <c r="P467" i="3" s="1"/>
  <c r="M466" i="3"/>
  <c r="K466" i="3"/>
  <c r="J466" i="3"/>
  <c r="O466" i="3" s="1"/>
  <c r="H466" i="3"/>
  <c r="O465" i="3"/>
  <c r="K465" i="3"/>
  <c r="H465" i="3"/>
  <c r="M464" i="3"/>
  <c r="K464" i="3"/>
  <c r="J464" i="3"/>
  <c r="H464" i="3"/>
  <c r="M463" i="3"/>
  <c r="K463" i="3"/>
  <c r="J463" i="3"/>
  <c r="H463" i="3"/>
  <c r="N463" i="3" s="1"/>
  <c r="M462" i="3"/>
  <c r="K462" i="3"/>
  <c r="J462" i="3"/>
  <c r="O462" i="3" s="1"/>
  <c r="H462" i="3"/>
  <c r="M461" i="3"/>
  <c r="J461" i="3"/>
  <c r="G461" i="3"/>
  <c r="K461" i="3" s="1"/>
  <c r="M460" i="3"/>
  <c r="K460" i="3"/>
  <c r="J460" i="3"/>
  <c r="O460" i="3" s="1"/>
  <c r="H460" i="3"/>
  <c r="M459" i="3"/>
  <c r="K459" i="3"/>
  <c r="J459" i="3"/>
  <c r="O459" i="3" s="1"/>
  <c r="H459" i="3"/>
  <c r="N459" i="3" s="1"/>
  <c r="P459" i="3" s="1"/>
  <c r="O458" i="3"/>
  <c r="K458" i="3"/>
  <c r="H458" i="3"/>
  <c r="O457" i="3"/>
  <c r="K457" i="3"/>
  <c r="H457" i="3"/>
  <c r="N457" i="3" s="1"/>
  <c r="P457" i="3" s="1"/>
  <c r="M456" i="3"/>
  <c r="J456" i="3"/>
  <c r="O456" i="3" s="1"/>
  <c r="G456" i="3"/>
  <c r="K456" i="3" s="1"/>
  <c r="M455" i="3"/>
  <c r="K455" i="3"/>
  <c r="J455" i="3"/>
  <c r="O455" i="3" s="1"/>
  <c r="H455" i="3"/>
  <c r="M454" i="3"/>
  <c r="K454" i="3"/>
  <c r="J454" i="3"/>
  <c r="H454" i="3"/>
  <c r="M453" i="3"/>
  <c r="K453" i="3"/>
  <c r="J453" i="3"/>
  <c r="H453" i="3"/>
  <c r="N453" i="3" s="1"/>
  <c r="O452" i="3"/>
  <c r="K452" i="3"/>
  <c r="H452" i="3"/>
  <c r="N452" i="3" s="1"/>
  <c r="P452" i="3" s="1"/>
  <c r="O451" i="3"/>
  <c r="K451" i="3"/>
  <c r="H451" i="3"/>
  <c r="M450" i="3"/>
  <c r="K450" i="3"/>
  <c r="J450" i="3"/>
  <c r="O450" i="3" s="1"/>
  <c r="H450" i="3"/>
  <c r="N450" i="3" s="1"/>
  <c r="M449" i="3"/>
  <c r="K449" i="3"/>
  <c r="J449" i="3"/>
  <c r="H449" i="3"/>
  <c r="N449" i="3" s="1"/>
  <c r="O448" i="3"/>
  <c r="K448" i="3"/>
  <c r="H448" i="3"/>
  <c r="N448" i="3" s="1"/>
  <c r="P448" i="3" s="1"/>
  <c r="M447" i="3"/>
  <c r="K447" i="3"/>
  <c r="I447" i="3"/>
  <c r="H447" i="3"/>
  <c r="N447" i="3" s="1"/>
  <c r="M446" i="3"/>
  <c r="K446" i="3"/>
  <c r="J446" i="3"/>
  <c r="O446" i="3" s="1"/>
  <c r="H446" i="3"/>
  <c r="M445" i="3"/>
  <c r="O445" i="3" s="1"/>
  <c r="G445" i="3"/>
  <c r="K445" i="3" s="1"/>
  <c r="M444" i="3"/>
  <c r="K444" i="3"/>
  <c r="J444" i="3"/>
  <c r="O444" i="3" s="1"/>
  <c r="H444" i="3"/>
  <c r="M443" i="3"/>
  <c r="K443" i="3"/>
  <c r="J443" i="3"/>
  <c r="O443" i="3" s="1"/>
  <c r="H443" i="3"/>
  <c r="O442" i="3"/>
  <c r="K442" i="3"/>
  <c r="H442" i="3"/>
  <c r="N442" i="3" s="1"/>
  <c r="P442" i="3" s="1"/>
  <c r="M441" i="3"/>
  <c r="K441" i="3"/>
  <c r="J441" i="3"/>
  <c r="O441" i="3" s="1"/>
  <c r="H441" i="3"/>
  <c r="N441" i="3" s="1"/>
  <c r="K440" i="3"/>
  <c r="J440" i="3"/>
  <c r="O440" i="3" s="1"/>
  <c r="H440" i="3"/>
  <c r="N440" i="3" s="1"/>
  <c r="P440" i="3" s="1"/>
  <c r="M439" i="3"/>
  <c r="K439" i="3"/>
  <c r="J439" i="3"/>
  <c r="O439" i="3" s="1"/>
  <c r="H439" i="3"/>
  <c r="O438" i="3"/>
  <c r="K438" i="3"/>
  <c r="H438" i="3"/>
  <c r="M437" i="3"/>
  <c r="K437" i="3"/>
  <c r="J437" i="3"/>
  <c r="H437" i="3"/>
  <c r="O436" i="3"/>
  <c r="K436" i="3"/>
  <c r="H436" i="3"/>
  <c r="N436" i="3" s="1"/>
  <c r="O435" i="3"/>
  <c r="G435" i="3"/>
  <c r="K435" i="3" s="1"/>
  <c r="O434" i="3"/>
  <c r="K434" i="3"/>
  <c r="H434" i="3"/>
  <c r="O433" i="3"/>
  <c r="K433" i="3"/>
  <c r="H433" i="3"/>
  <c r="N433" i="3" s="1"/>
  <c r="M432" i="3"/>
  <c r="K432" i="3"/>
  <c r="J432" i="3"/>
  <c r="O432" i="3" s="1"/>
  <c r="H432" i="3"/>
  <c r="O431" i="3"/>
  <c r="K431" i="3"/>
  <c r="H431" i="3"/>
  <c r="N431" i="3" s="1"/>
  <c r="P431" i="3" s="1"/>
  <c r="M430" i="3"/>
  <c r="J430" i="3"/>
  <c r="G430" i="3"/>
  <c r="K430" i="3" s="1"/>
  <c r="M429" i="3"/>
  <c r="K429" i="3"/>
  <c r="J429" i="3"/>
  <c r="H429" i="3"/>
  <c r="N429" i="3" s="1"/>
  <c r="M428" i="3"/>
  <c r="K428" i="3"/>
  <c r="J428" i="3"/>
  <c r="O428" i="3" s="1"/>
  <c r="H428" i="3"/>
  <c r="O427" i="3"/>
  <c r="K427" i="3"/>
  <c r="H427" i="3"/>
  <c r="O426" i="3"/>
  <c r="K426" i="3"/>
  <c r="H426" i="3"/>
  <c r="N426" i="3" s="1"/>
  <c r="O425" i="3"/>
  <c r="K425" i="3"/>
  <c r="H425" i="3"/>
  <c r="O424" i="3"/>
  <c r="K424" i="3"/>
  <c r="H424" i="3"/>
  <c r="O423" i="3"/>
  <c r="K423" i="3"/>
  <c r="H423" i="3"/>
  <c r="O422" i="3"/>
  <c r="G422" i="3"/>
  <c r="K422" i="3" s="1"/>
  <c r="O421" i="3"/>
  <c r="K421" i="3"/>
  <c r="H421" i="3"/>
  <c r="N421" i="3" s="1"/>
  <c r="P421" i="3" s="1"/>
  <c r="M420" i="3"/>
  <c r="K420" i="3"/>
  <c r="J420" i="3"/>
  <c r="O420" i="3" s="1"/>
  <c r="H420" i="3"/>
  <c r="O419" i="3"/>
  <c r="K419" i="3"/>
  <c r="H419" i="3"/>
  <c r="O418" i="3"/>
  <c r="K418" i="3"/>
  <c r="H418" i="3"/>
  <c r="N418" i="3" s="1"/>
  <c r="M417" i="3"/>
  <c r="K417" i="3"/>
  <c r="J417" i="3"/>
  <c r="I417" i="3"/>
  <c r="O417" i="3" s="1"/>
  <c r="H417" i="3"/>
  <c r="O416" i="3"/>
  <c r="K416" i="3"/>
  <c r="H416" i="3"/>
  <c r="N416" i="3" s="1"/>
  <c r="P416" i="3" s="1"/>
  <c r="O415" i="3"/>
  <c r="K415" i="3"/>
  <c r="H415" i="3"/>
  <c r="O414" i="3"/>
  <c r="K414" i="3"/>
  <c r="H414" i="3"/>
  <c r="N414" i="3" s="1"/>
  <c r="P414" i="3" s="1"/>
  <c r="M413" i="3"/>
  <c r="O413" i="3" s="1"/>
  <c r="G413" i="3"/>
  <c r="K413" i="3" s="1"/>
  <c r="M412" i="3"/>
  <c r="K412" i="3"/>
  <c r="J412" i="3"/>
  <c r="O412" i="3" s="1"/>
  <c r="H412" i="3"/>
  <c r="N412" i="3" s="1"/>
  <c r="P412" i="3" s="1"/>
  <c r="O411" i="3"/>
  <c r="K411" i="3"/>
  <c r="H411" i="3"/>
  <c r="O410" i="3"/>
  <c r="K410" i="3"/>
  <c r="H410" i="3"/>
  <c r="N410" i="3" s="1"/>
  <c r="P410" i="3" s="1"/>
  <c r="O409" i="3"/>
  <c r="K409" i="3"/>
  <c r="H409" i="3"/>
  <c r="M408" i="3"/>
  <c r="K408" i="3"/>
  <c r="J408" i="3"/>
  <c r="O408" i="3" s="1"/>
  <c r="H408" i="3"/>
  <c r="M407" i="3"/>
  <c r="K407" i="3"/>
  <c r="J407" i="3"/>
  <c r="H407" i="3"/>
  <c r="N407" i="3" s="1"/>
  <c r="M406" i="3"/>
  <c r="K406" i="3"/>
  <c r="J406" i="3"/>
  <c r="H406" i="3"/>
  <c r="N406" i="3" s="1"/>
  <c r="M405" i="3"/>
  <c r="J405" i="3"/>
  <c r="O405" i="3" s="1"/>
  <c r="G405" i="3"/>
  <c r="K405" i="3" s="1"/>
  <c r="M404" i="3"/>
  <c r="K404" i="3"/>
  <c r="J404" i="3"/>
  <c r="O404" i="3" s="1"/>
  <c r="H404" i="3"/>
  <c r="M403" i="3"/>
  <c r="K403" i="3"/>
  <c r="J403" i="3"/>
  <c r="H403" i="3"/>
  <c r="M402" i="3"/>
  <c r="K402" i="3"/>
  <c r="J402" i="3"/>
  <c r="O402" i="3" s="1"/>
  <c r="H402" i="3"/>
  <c r="N402" i="3" s="1"/>
  <c r="P402" i="3" s="1"/>
  <c r="M401" i="3"/>
  <c r="K401" i="3"/>
  <c r="J401" i="3"/>
  <c r="O401" i="3" s="1"/>
  <c r="H401" i="3"/>
  <c r="O400" i="3"/>
  <c r="K400" i="3"/>
  <c r="H400" i="3"/>
  <c r="O399" i="3"/>
  <c r="K399" i="3"/>
  <c r="H399" i="3"/>
  <c r="M398" i="3"/>
  <c r="K398" i="3"/>
  <c r="J398" i="3"/>
  <c r="H398" i="3"/>
  <c r="N398" i="3" s="1"/>
  <c r="O397" i="3"/>
  <c r="K397" i="3"/>
  <c r="H397" i="3"/>
  <c r="O396" i="3"/>
  <c r="K396" i="3"/>
  <c r="H396" i="3"/>
  <c r="N396" i="3" s="1"/>
  <c r="P396" i="3" s="1"/>
  <c r="O395" i="3"/>
  <c r="K395" i="3"/>
  <c r="H395" i="3"/>
  <c r="N395" i="3" s="1"/>
  <c r="P395" i="3" s="1"/>
  <c r="M394" i="3"/>
  <c r="K394" i="3"/>
  <c r="J394" i="3"/>
  <c r="O394" i="3" s="1"/>
  <c r="H394" i="3"/>
  <c r="N394" i="3" s="1"/>
  <c r="O393" i="3"/>
  <c r="K393" i="3"/>
  <c r="H393" i="3"/>
  <c r="N393" i="3" s="1"/>
  <c r="P393" i="3" s="1"/>
  <c r="O392" i="3"/>
  <c r="K392" i="3"/>
  <c r="H392" i="3"/>
  <c r="M391" i="3"/>
  <c r="K391" i="3"/>
  <c r="J391" i="3"/>
  <c r="O391" i="3" s="1"/>
  <c r="H391" i="3"/>
  <c r="O390" i="3"/>
  <c r="K390" i="3"/>
  <c r="H390" i="3"/>
  <c r="N390" i="3" s="1"/>
  <c r="M389" i="3"/>
  <c r="K389" i="3"/>
  <c r="J389" i="3"/>
  <c r="O389" i="3" s="1"/>
  <c r="H389" i="3"/>
  <c r="N389" i="3" s="1"/>
  <c r="P389" i="3" s="1"/>
  <c r="M388" i="3"/>
  <c r="K388" i="3"/>
  <c r="J388" i="3"/>
  <c r="O388" i="3" s="1"/>
  <c r="H388" i="3"/>
  <c r="N388" i="3" s="1"/>
  <c r="P388" i="3" s="1"/>
  <c r="M387" i="3"/>
  <c r="K387" i="3"/>
  <c r="J387" i="3"/>
  <c r="O387" i="3" s="1"/>
  <c r="H387" i="3"/>
  <c r="M386" i="3"/>
  <c r="K386" i="3"/>
  <c r="J386" i="3"/>
  <c r="O386" i="3" s="1"/>
  <c r="H386" i="3"/>
  <c r="N386" i="3" s="1"/>
  <c r="P386" i="3" s="1"/>
  <c r="O385" i="3"/>
  <c r="K385" i="3"/>
  <c r="H385" i="3"/>
  <c r="N385" i="3" s="1"/>
  <c r="P385" i="3" s="1"/>
  <c r="O384" i="3"/>
  <c r="K384" i="3"/>
  <c r="H384" i="3"/>
  <c r="N384" i="3" s="1"/>
  <c r="P384" i="3" s="1"/>
  <c r="O383" i="3"/>
  <c r="K383" i="3"/>
  <c r="H383" i="3"/>
  <c r="O382" i="3"/>
  <c r="K382" i="3"/>
  <c r="H382" i="3"/>
  <c r="N382" i="3" s="1"/>
  <c r="P382" i="3" s="1"/>
  <c r="O381" i="3"/>
  <c r="K381" i="3"/>
  <c r="H381" i="3"/>
  <c r="N381" i="3" s="1"/>
  <c r="P381" i="3" s="1"/>
  <c r="O380" i="3"/>
  <c r="K380" i="3"/>
  <c r="H380" i="3"/>
  <c r="N380" i="3" s="1"/>
  <c r="P380" i="3" s="1"/>
  <c r="O379" i="3"/>
  <c r="K379" i="3"/>
  <c r="H379" i="3"/>
  <c r="M378" i="3"/>
  <c r="K378" i="3"/>
  <c r="J378" i="3"/>
  <c r="O378" i="3" s="1"/>
  <c r="H378" i="3"/>
  <c r="M377" i="3"/>
  <c r="K377" i="3"/>
  <c r="J377" i="3"/>
  <c r="O377" i="3" s="1"/>
  <c r="H377" i="3"/>
  <c r="M376" i="3"/>
  <c r="J376" i="3"/>
  <c r="G376" i="3"/>
  <c r="K376" i="3" s="1"/>
  <c r="M375" i="3"/>
  <c r="L375" i="3"/>
  <c r="K375" i="3"/>
  <c r="J375" i="3"/>
  <c r="I375" i="3"/>
  <c r="H375" i="3"/>
  <c r="K374" i="3"/>
  <c r="J374" i="3"/>
  <c r="O374" i="3" s="1"/>
  <c r="H374" i="3"/>
  <c r="O373" i="3"/>
  <c r="K373" i="3"/>
  <c r="H373" i="3"/>
  <c r="N373" i="3" s="1"/>
  <c r="O372" i="3"/>
  <c r="K372" i="3"/>
  <c r="H372" i="3"/>
  <c r="O371" i="3"/>
  <c r="K371" i="3"/>
  <c r="H371" i="3"/>
  <c r="N371" i="3" s="1"/>
  <c r="M370" i="3"/>
  <c r="K370" i="3"/>
  <c r="J370" i="3"/>
  <c r="H370" i="3"/>
  <c r="N370" i="3" s="1"/>
  <c r="M369" i="3"/>
  <c r="K369" i="3"/>
  <c r="J369" i="3"/>
  <c r="O369" i="3" s="1"/>
  <c r="H369" i="3"/>
  <c r="N369" i="3" s="1"/>
  <c r="O368" i="3"/>
  <c r="K368" i="3"/>
  <c r="H368" i="3"/>
  <c r="M367" i="3"/>
  <c r="K367" i="3"/>
  <c r="J367" i="3"/>
  <c r="O367" i="3" s="1"/>
  <c r="H367" i="3"/>
  <c r="M366" i="3"/>
  <c r="K366" i="3"/>
  <c r="J366" i="3"/>
  <c r="H366" i="3"/>
  <c r="N366" i="3" s="1"/>
  <c r="O365" i="3"/>
  <c r="K365" i="3"/>
  <c r="H365" i="3"/>
  <c r="N365" i="3" s="1"/>
  <c r="P365" i="3" s="1"/>
  <c r="O364" i="3"/>
  <c r="G364" i="3"/>
  <c r="K364" i="3" s="1"/>
  <c r="O363" i="3"/>
  <c r="K363" i="3"/>
  <c r="H363" i="3"/>
  <c r="O362" i="3"/>
  <c r="K362" i="3"/>
  <c r="H362" i="3"/>
  <c r="N362" i="3" s="1"/>
  <c r="M361" i="3"/>
  <c r="K361" i="3"/>
  <c r="J361" i="3"/>
  <c r="H361" i="3"/>
  <c r="N361" i="3" s="1"/>
  <c r="M360" i="3"/>
  <c r="K360" i="3"/>
  <c r="J360" i="3"/>
  <c r="O360" i="3" s="1"/>
  <c r="H360" i="3"/>
  <c r="N360" i="3" s="1"/>
  <c r="P360" i="3" s="1"/>
  <c r="M359" i="3"/>
  <c r="K359" i="3"/>
  <c r="J359" i="3"/>
  <c r="O359" i="3" s="1"/>
  <c r="H359" i="3"/>
  <c r="M358" i="3"/>
  <c r="J358" i="3"/>
  <c r="O358" i="3" s="1"/>
  <c r="G358" i="3"/>
  <c r="K358" i="3" s="1"/>
  <c r="M357" i="3"/>
  <c r="K357" i="3"/>
  <c r="J357" i="3"/>
  <c r="H357" i="3"/>
  <c r="N357" i="3" s="1"/>
  <c r="M356" i="3"/>
  <c r="K356" i="3"/>
  <c r="J356" i="3"/>
  <c r="O356" i="3" s="1"/>
  <c r="H356" i="3"/>
  <c r="N356" i="3" s="1"/>
  <c r="O355" i="3"/>
  <c r="K355" i="3"/>
  <c r="H355" i="3"/>
  <c r="N355" i="3" s="1"/>
  <c r="P355" i="3" s="1"/>
  <c r="M354" i="3"/>
  <c r="K354" i="3"/>
  <c r="J354" i="3"/>
  <c r="H354" i="3"/>
  <c r="M353" i="3"/>
  <c r="O353" i="3" s="1"/>
  <c r="K353" i="3"/>
  <c r="H353" i="3"/>
  <c r="M352" i="3"/>
  <c r="K352" i="3"/>
  <c r="J352" i="3"/>
  <c r="H352" i="3"/>
  <c r="N352" i="3" s="1"/>
  <c r="O351" i="3"/>
  <c r="K351" i="3"/>
  <c r="H351" i="3"/>
  <c r="N351" i="3" s="1"/>
  <c r="M350" i="3"/>
  <c r="K350" i="3"/>
  <c r="J350" i="3"/>
  <c r="O350" i="3" s="1"/>
  <c r="H350" i="3"/>
  <c r="N350" i="3" s="1"/>
  <c r="P350" i="3" s="1"/>
  <c r="O349" i="3"/>
  <c r="K349" i="3"/>
  <c r="H349" i="3"/>
  <c r="M348" i="3"/>
  <c r="K348" i="3"/>
  <c r="J348" i="3"/>
  <c r="O348" i="3" s="1"/>
  <c r="H348" i="3"/>
  <c r="M347" i="3"/>
  <c r="K347" i="3"/>
  <c r="J347" i="3"/>
  <c r="H347" i="3"/>
  <c r="N347" i="3" s="1"/>
  <c r="M346" i="3"/>
  <c r="K346" i="3"/>
  <c r="J346" i="3"/>
  <c r="O346" i="3" s="1"/>
  <c r="H346" i="3"/>
  <c r="N346" i="3" s="1"/>
  <c r="M345" i="3"/>
  <c r="K345" i="3"/>
  <c r="J345" i="3"/>
  <c r="O345" i="3" s="1"/>
  <c r="H345" i="3"/>
  <c r="M344" i="3"/>
  <c r="K344" i="3"/>
  <c r="J344" i="3"/>
  <c r="H344" i="3"/>
  <c r="N344" i="3" s="1"/>
  <c r="O343" i="3"/>
  <c r="K343" i="3"/>
  <c r="H343" i="3"/>
  <c r="N343" i="3" s="1"/>
  <c r="P343" i="3" s="1"/>
  <c r="M342" i="3"/>
  <c r="K342" i="3"/>
  <c r="J342" i="3"/>
  <c r="O342" i="3" s="1"/>
  <c r="H342" i="3"/>
  <c r="N342" i="3" s="1"/>
  <c r="P342" i="3" s="1"/>
  <c r="M341" i="3"/>
  <c r="K341" i="3"/>
  <c r="J341" i="3"/>
  <c r="H341" i="3"/>
  <c r="M340" i="3"/>
  <c r="J340" i="3"/>
  <c r="O340" i="3" s="1"/>
  <c r="G340" i="3"/>
  <c r="K340" i="3" s="1"/>
  <c r="M339" i="3"/>
  <c r="K339" i="3"/>
  <c r="J339" i="3"/>
  <c r="H339" i="3"/>
  <c r="N339" i="3" s="1"/>
  <c r="M338" i="3"/>
  <c r="K338" i="3"/>
  <c r="J338" i="3"/>
  <c r="H338" i="3"/>
  <c r="M337" i="3"/>
  <c r="K337" i="3"/>
  <c r="J337" i="3"/>
  <c r="O337" i="3" s="1"/>
  <c r="H337" i="3"/>
  <c r="O336" i="3"/>
  <c r="K336" i="3"/>
  <c r="H336" i="3"/>
  <c r="N336" i="3" s="1"/>
  <c r="O335" i="3"/>
  <c r="G335" i="3"/>
  <c r="K335" i="3" s="1"/>
  <c r="M334" i="3"/>
  <c r="K334" i="3"/>
  <c r="J334" i="3"/>
  <c r="O334" i="3" s="1"/>
  <c r="H334" i="3"/>
  <c r="M333" i="3"/>
  <c r="K333" i="3"/>
  <c r="J333" i="3"/>
  <c r="H333" i="3"/>
  <c r="N333" i="3" s="1"/>
  <c r="O332" i="3"/>
  <c r="K332" i="3"/>
  <c r="H332" i="3"/>
  <c r="N332" i="3" s="1"/>
  <c r="P332" i="3" s="1"/>
  <c r="O331" i="3"/>
  <c r="G331" i="3"/>
  <c r="K331" i="3" s="1"/>
  <c r="O330" i="3"/>
  <c r="K330" i="3"/>
  <c r="H330" i="3"/>
  <c r="N330" i="3" s="1"/>
  <c r="O329" i="3"/>
  <c r="K329" i="3"/>
  <c r="H329" i="3"/>
  <c r="O328" i="3"/>
  <c r="K328" i="3"/>
  <c r="H328" i="3"/>
  <c r="N328" i="3" s="1"/>
  <c r="M327" i="3"/>
  <c r="K327" i="3"/>
  <c r="J327" i="3"/>
  <c r="H327" i="3"/>
  <c r="O326" i="3"/>
  <c r="K326" i="3"/>
  <c r="H326" i="3"/>
  <c r="N326" i="3" s="1"/>
  <c r="P326" i="3" s="1"/>
  <c r="M325" i="3"/>
  <c r="K325" i="3"/>
  <c r="J325" i="3"/>
  <c r="O325" i="3" s="1"/>
  <c r="H325" i="3"/>
  <c r="N325" i="3" s="1"/>
  <c r="O324" i="3"/>
  <c r="K324" i="3"/>
  <c r="H324" i="3"/>
  <c r="N324" i="3" s="1"/>
  <c r="P324" i="3" s="1"/>
  <c r="M323" i="3"/>
  <c r="K323" i="3"/>
  <c r="J323" i="3"/>
  <c r="O323" i="3" s="1"/>
  <c r="H323" i="3"/>
  <c r="M322" i="3"/>
  <c r="K322" i="3"/>
  <c r="J322" i="3"/>
  <c r="H322" i="3"/>
  <c r="N322" i="3" s="1"/>
  <c r="M321" i="3"/>
  <c r="K321" i="3"/>
  <c r="J321" i="3"/>
  <c r="O321" i="3" s="1"/>
  <c r="H321" i="3"/>
  <c r="N321" i="3" s="1"/>
  <c r="P321" i="3" s="1"/>
  <c r="M320" i="3"/>
  <c r="K320" i="3"/>
  <c r="J320" i="3"/>
  <c r="O320" i="3" s="1"/>
  <c r="H320" i="3"/>
  <c r="M319" i="3"/>
  <c r="K319" i="3"/>
  <c r="J319" i="3"/>
  <c r="H319" i="3"/>
  <c r="N319" i="3" s="1"/>
  <c r="M318" i="3"/>
  <c r="K318" i="3"/>
  <c r="J318" i="3"/>
  <c r="O318" i="3" s="1"/>
  <c r="H318" i="3"/>
  <c r="N318" i="3" s="1"/>
  <c r="P318" i="3" s="1"/>
  <c r="M317" i="3"/>
  <c r="K317" i="3"/>
  <c r="J317" i="3"/>
  <c r="O317" i="3" s="1"/>
  <c r="H317" i="3"/>
  <c r="N317" i="3" s="1"/>
  <c r="P317" i="3" s="1"/>
  <c r="M316" i="3"/>
  <c r="K316" i="3"/>
  <c r="J316" i="3"/>
  <c r="H316" i="3"/>
  <c r="N316" i="3" s="1"/>
  <c r="O315" i="3"/>
  <c r="K315" i="3"/>
  <c r="H315" i="3"/>
  <c r="N315" i="3" s="1"/>
  <c r="P315" i="3" s="1"/>
  <c r="O314" i="3"/>
  <c r="K314" i="3"/>
  <c r="H314" i="3"/>
  <c r="N314" i="3" s="1"/>
  <c r="M313" i="3"/>
  <c r="K313" i="3"/>
  <c r="J313" i="3"/>
  <c r="O313" i="3" s="1"/>
  <c r="H313" i="3"/>
  <c r="N313" i="3" s="1"/>
  <c r="P313" i="3" s="1"/>
  <c r="O312" i="3"/>
  <c r="K312" i="3"/>
  <c r="H312" i="3"/>
  <c r="O311" i="3"/>
  <c r="G311" i="3"/>
  <c r="K311" i="3" s="1"/>
  <c r="O310" i="3"/>
  <c r="G310" i="3"/>
  <c r="K310" i="3" s="1"/>
  <c r="M309" i="3"/>
  <c r="K309" i="3"/>
  <c r="J309" i="3"/>
  <c r="O309" i="3" s="1"/>
  <c r="H309" i="3"/>
  <c r="N309" i="3" s="1"/>
  <c r="P309" i="3" s="1"/>
  <c r="M308" i="3"/>
  <c r="L308" i="3"/>
  <c r="J308" i="3"/>
  <c r="O308" i="3" s="1"/>
  <c r="G308" i="3"/>
  <c r="K308" i="3" s="1"/>
  <c r="O307" i="3"/>
  <c r="K307" i="3"/>
  <c r="H307" i="3"/>
  <c r="N307" i="3" s="1"/>
  <c r="P307" i="3" s="1"/>
  <c r="O306" i="3"/>
  <c r="K306" i="3"/>
  <c r="H306" i="3"/>
  <c r="O305" i="3"/>
  <c r="K305" i="3"/>
  <c r="H305" i="3"/>
  <c r="N305" i="3" s="1"/>
  <c r="P305" i="3" s="1"/>
  <c r="M304" i="3"/>
  <c r="K304" i="3"/>
  <c r="J304" i="3"/>
  <c r="I304" i="3"/>
  <c r="O304" i="3" s="1"/>
  <c r="H304" i="3"/>
  <c r="M303" i="3"/>
  <c r="J303" i="3"/>
  <c r="I303" i="3"/>
  <c r="G303" i="3"/>
  <c r="K303" i="3" s="1"/>
  <c r="M302" i="3"/>
  <c r="K302" i="3"/>
  <c r="J302" i="3"/>
  <c r="O302" i="3" s="1"/>
  <c r="H302" i="3"/>
  <c r="M301" i="3"/>
  <c r="O301" i="3" s="1"/>
  <c r="K301" i="3"/>
  <c r="H301" i="3"/>
  <c r="N301" i="3" s="1"/>
  <c r="M300" i="3"/>
  <c r="K300" i="3"/>
  <c r="J300" i="3"/>
  <c r="H300" i="3"/>
  <c r="M299" i="3"/>
  <c r="J299" i="3"/>
  <c r="O299" i="3" s="1"/>
  <c r="G299" i="3"/>
  <c r="K299" i="3" s="1"/>
  <c r="O298" i="3"/>
  <c r="K298" i="3"/>
  <c r="H298" i="3"/>
  <c r="N298" i="3" s="1"/>
  <c r="P298" i="3" s="1"/>
  <c r="O297" i="3"/>
  <c r="G297" i="3"/>
  <c r="K297" i="3" s="1"/>
  <c r="O296" i="3"/>
  <c r="K296" i="3"/>
  <c r="H296" i="3"/>
  <c r="O295" i="3"/>
  <c r="G295" i="3"/>
  <c r="K295" i="3" s="1"/>
  <c r="O294" i="3"/>
  <c r="K294" i="3"/>
  <c r="H294" i="3"/>
  <c r="N294" i="3" s="1"/>
  <c r="P294" i="3" s="1"/>
  <c r="O293" i="3"/>
  <c r="G293" i="3"/>
  <c r="K293" i="3" s="1"/>
  <c r="O292" i="3"/>
  <c r="K292" i="3"/>
  <c r="H292" i="3"/>
  <c r="N292" i="3" s="1"/>
  <c r="P292" i="3" s="1"/>
  <c r="O291" i="3"/>
  <c r="K291" i="3"/>
  <c r="H291" i="3"/>
  <c r="N291" i="3" s="1"/>
  <c r="O290" i="3"/>
  <c r="K290" i="3"/>
  <c r="H290" i="3"/>
  <c r="O289" i="3"/>
  <c r="G289" i="3"/>
  <c r="K289" i="3" s="1"/>
  <c r="O288" i="3"/>
  <c r="K288" i="3"/>
  <c r="H288" i="3"/>
  <c r="N288" i="3" s="1"/>
  <c r="O287" i="3"/>
  <c r="K287" i="3"/>
  <c r="H287" i="3"/>
  <c r="M286" i="3"/>
  <c r="O286" i="3" s="1"/>
  <c r="K286" i="3"/>
  <c r="H286" i="3"/>
  <c r="N286" i="3" s="1"/>
  <c r="P286" i="3" s="1"/>
  <c r="M285" i="3"/>
  <c r="O285" i="3" s="1"/>
  <c r="K285" i="3"/>
  <c r="H285" i="3"/>
  <c r="M284" i="3"/>
  <c r="O284" i="3" s="1"/>
  <c r="K284" i="3"/>
  <c r="H284" i="3"/>
  <c r="N284" i="3" s="1"/>
  <c r="O283" i="3"/>
  <c r="K283" i="3"/>
  <c r="H283" i="3"/>
  <c r="M282" i="3"/>
  <c r="K282" i="3"/>
  <c r="J282" i="3"/>
  <c r="O282" i="3" s="1"/>
  <c r="H282" i="3"/>
  <c r="N282" i="3" s="1"/>
  <c r="M281" i="3"/>
  <c r="K281" i="3"/>
  <c r="J281" i="3"/>
  <c r="O281" i="3" s="1"/>
  <c r="H281" i="3"/>
  <c r="N281" i="3" s="1"/>
  <c r="O280" i="3"/>
  <c r="K280" i="3"/>
  <c r="H280" i="3"/>
  <c r="O279" i="3"/>
  <c r="K279" i="3"/>
  <c r="H279" i="3"/>
  <c r="M278" i="3"/>
  <c r="K278" i="3"/>
  <c r="J278" i="3"/>
  <c r="O278" i="3" s="1"/>
  <c r="H278" i="3"/>
  <c r="K277" i="3"/>
  <c r="J277" i="3"/>
  <c r="O277" i="3" s="1"/>
  <c r="H277" i="3"/>
  <c r="M276" i="3"/>
  <c r="J276" i="3"/>
  <c r="G276" i="3"/>
  <c r="K276" i="3" s="1"/>
  <c r="M275" i="3"/>
  <c r="K275" i="3"/>
  <c r="J275" i="3"/>
  <c r="O275" i="3" s="1"/>
  <c r="H275" i="3"/>
  <c r="N275" i="3" s="1"/>
  <c r="P275" i="3" s="1"/>
  <c r="O274" i="3"/>
  <c r="K274" i="3"/>
  <c r="H274" i="3"/>
  <c r="N274" i="3" s="1"/>
  <c r="P274" i="3" s="1"/>
  <c r="M273" i="3"/>
  <c r="K273" i="3"/>
  <c r="J273" i="3"/>
  <c r="O273" i="3" s="1"/>
  <c r="H273" i="3"/>
  <c r="N273" i="3" s="1"/>
  <c r="M272" i="3"/>
  <c r="K272" i="3"/>
  <c r="J272" i="3"/>
  <c r="O272" i="3" s="1"/>
  <c r="H272" i="3"/>
  <c r="N272" i="3" s="1"/>
  <c r="P272" i="3" s="1"/>
  <c r="L271" i="3"/>
  <c r="K271" i="3"/>
  <c r="I271" i="3"/>
  <c r="H271" i="3"/>
  <c r="N271" i="3" s="1"/>
  <c r="L270" i="3"/>
  <c r="K270" i="3"/>
  <c r="I270" i="3"/>
  <c r="O270" i="3" s="1"/>
  <c r="H270" i="3"/>
  <c r="N270" i="3" s="1"/>
  <c r="O269" i="3"/>
  <c r="K269" i="3"/>
  <c r="H269" i="3"/>
  <c r="N269" i="3" s="1"/>
  <c r="P269" i="3" s="1"/>
  <c r="O268" i="3"/>
  <c r="K268" i="3"/>
  <c r="H268" i="3"/>
  <c r="N268" i="3" s="1"/>
  <c r="P268" i="3" s="1"/>
  <c r="O267" i="3"/>
  <c r="K267" i="3"/>
  <c r="H267" i="3"/>
  <c r="F267" i="3"/>
  <c r="O266" i="3"/>
  <c r="K266" i="3"/>
  <c r="H266" i="3"/>
  <c r="K265" i="3"/>
  <c r="J265" i="3"/>
  <c r="O265" i="3" s="1"/>
  <c r="H265" i="3"/>
  <c r="N265" i="3" s="1"/>
  <c r="P265" i="3" s="1"/>
  <c r="M264" i="3"/>
  <c r="K264" i="3"/>
  <c r="J264" i="3"/>
  <c r="H264" i="3"/>
  <c r="N264" i="3" s="1"/>
  <c r="M263" i="3"/>
  <c r="K263" i="3"/>
  <c r="J263" i="3"/>
  <c r="O263" i="3" s="1"/>
  <c r="H263" i="3"/>
  <c r="N263" i="3" s="1"/>
  <c r="M262" i="3"/>
  <c r="J262" i="3"/>
  <c r="O262" i="3" s="1"/>
  <c r="G262" i="3"/>
  <c r="K262" i="3" s="1"/>
  <c r="M261" i="3"/>
  <c r="K261" i="3"/>
  <c r="J261" i="3"/>
  <c r="O261" i="3" s="1"/>
  <c r="H261" i="3"/>
  <c r="M260" i="3"/>
  <c r="K260" i="3"/>
  <c r="J260" i="3"/>
  <c r="H260" i="3"/>
  <c r="N260" i="3" s="1"/>
  <c r="M259" i="3"/>
  <c r="K259" i="3"/>
  <c r="J259" i="3"/>
  <c r="H259" i="3"/>
  <c r="N259" i="3" s="1"/>
  <c r="M258" i="3"/>
  <c r="K258" i="3"/>
  <c r="J258" i="3"/>
  <c r="O258" i="3" s="1"/>
  <c r="H258" i="3"/>
  <c r="O257" i="3"/>
  <c r="K257" i="3"/>
  <c r="H257" i="3"/>
  <c r="N257" i="3" s="1"/>
  <c r="O256" i="3"/>
  <c r="G256" i="3"/>
  <c r="K256" i="3" s="1"/>
  <c r="M255" i="3"/>
  <c r="K255" i="3"/>
  <c r="J255" i="3"/>
  <c r="O255" i="3" s="1"/>
  <c r="H255" i="3"/>
  <c r="N255" i="3" s="1"/>
  <c r="P255" i="3" s="1"/>
  <c r="M254" i="3"/>
  <c r="K254" i="3"/>
  <c r="J254" i="3"/>
  <c r="H254" i="3"/>
  <c r="N254" i="3" s="1"/>
  <c r="O253" i="3"/>
  <c r="K253" i="3"/>
  <c r="H253" i="3"/>
  <c r="N253" i="3" s="1"/>
  <c r="P253" i="3" s="1"/>
  <c r="O252" i="3"/>
  <c r="K252" i="3"/>
  <c r="H252" i="3"/>
  <c r="N252" i="3" s="1"/>
  <c r="O251" i="3"/>
  <c r="K251" i="3"/>
  <c r="H251" i="3"/>
  <c r="O250" i="3"/>
  <c r="K250" i="3"/>
  <c r="H250" i="3"/>
  <c r="N250" i="3" s="1"/>
  <c r="P250" i="3" s="1"/>
  <c r="M249" i="3"/>
  <c r="K249" i="3"/>
  <c r="J249" i="3"/>
  <c r="O249" i="3" s="1"/>
  <c r="H249" i="3"/>
  <c r="N249" i="3" s="1"/>
  <c r="O248" i="3"/>
  <c r="K248" i="3"/>
  <c r="H248" i="3"/>
  <c r="N248" i="3" s="1"/>
  <c r="P248" i="3" s="1"/>
  <c r="M247" i="3"/>
  <c r="K247" i="3"/>
  <c r="J247" i="3"/>
  <c r="O247" i="3" s="1"/>
  <c r="H247" i="3"/>
  <c r="O246" i="3"/>
  <c r="K246" i="3"/>
  <c r="H246" i="3"/>
  <c r="O245" i="3"/>
  <c r="K245" i="3"/>
  <c r="H245" i="3"/>
  <c r="M244" i="3"/>
  <c r="K244" i="3"/>
  <c r="J244" i="3"/>
  <c r="O244" i="3" s="1"/>
  <c r="H244" i="3"/>
  <c r="N244" i="3" s="1"/>
  <c r="O243" i="3"/>
  <c r="K243" i="3"/>
  <c r="H243" i="3"/>
  <c r="N243" i="3" s="1"/>
  <c r="P243" i="3" s="1"/>
  <c r="O242" i="3"/>
  <c r="K242" i="3"/>
  <c r="H242" i="3"/>
  <c r="N242" i="3" s="1"/>
  <c r="P242" i="3" s="1"/>
  <c r="O241" i="3"/>
  <c r="K241" i="3"/>
  <c r="H241" i="3"/>
  <c r="N241" i="3" s="1"/>
  <c r="O240" i="3"/>
  <c r="K240" i="3"/>
  <c r="H240" i="3"/>
  <c r="M239" i="3"/>
  <c r="J239" i="3"/>
  <c r="G239" i="3"/>
  <c r="K239" i="3" s="1"/>
  <c r="M238" i="3"/>
  <c r="K238" i="3"/>
  <c r="J238" i="3"/>
  <c r="I238" i="3"/>
  <c r="H238" i="3"/>
  <c r="N238" i="3" s="1"/>
  <c r="M237" i="3"/>
  <c r="K237" i="3"/>
  <c r="J237" i="3"/>
  <c r="O237" i="3" s="1"/>
  <c r="H237" i="3"/>
  <c r="N237" i="3" s="1"/>
  <c r="O236" i="3"/>
  <c r="K236" i="3"/>
  <c r="H236" i="3"/>
  <c r="N236" i="3" s="1"/>
  <c r="P236" i="3" s="1"/>
  <c r="O235" i="3"/>
  <c r="G235" i="3"/>
  <c r="K235" i="3" s="1"/>
  <c r="O234" i="3"/>
  <c r="G234" i="3"/>
  <c r="K234" i="3" s="1"/>
  <c r="M233" i="3"/>
  <c r="K233" i="3"/>
  <c r="J233" i="3"/>
  <c r="O233" i="3" s="1"/>
  <c r="H233" i="3"/>
  <c r="N233" i="3" s="1"/>
  <c r="P233" i="3" s="1"/>
  <c r="M232" i="3"/>
  <c r="K232" i="3"/>
  <c r="J232" i="3"/>
  <c r="H232" i="3"/>
  <c r="N232" i="3" s="1"/>
  <c r="M231" i="3"/>
  <c r="K231" i="3"/>
  <c r="J231" i="3"/>
  <c r="O231" i="3" s="1"/>
  <c r="H231" i="3"/>
  <c r="N231" i="3" s="1"/>
  <c r="M230" i="3"/>
  <c r="K230" i="3"/>
  <c r="J230" i="3"/>
  <c r="O230" i="3" s="1"/>
  <c r="H230" i="3"/>
  <c r="N230" i="3" s="1"/>
  <c r="P230" i="3" s="1"/>
  <c r="M229" i="3"/>
  <c r="J229" i="3"/>
  <c r="O229" i="3" s="1"/>
  <c r="G229" i="3"/>
  <c r="K229" i="3" s="1"/>
  <c r="O228" i="3"/>
  <c r="K228" i="3"/>
  <c r="H228" i="3"/>
  <c r="N228" i="3" s="1"/>
  <c r="O227" i="3"/>
  <c r="K227" i="3"/>
  <c r="H227" i="3"/>
  <c r="O226" i="3"/>
  <c r="K226" i="3"/>
  <c r="H226" i="3"/>
  <c r="N226" i="3" s="1"/>
  <c r="P226" i="3" s="1"/>
  <c r="M225" i="3"/>
  <c r="J225" i="3"/>
  <c r="O225" i="3" s="1"/>
  <c r="G225" i="3"/>
  <c r="K225" i="3" s="1"/>
  <c r="M224" i="3"/>
  <c r="K224" i="3"/>
  <c r="J224" i="3"/>
  <c r="H224" i="3"/>
  <c r="N224" i="3" s="1"/>
  <c r="M223" i="3"/>
  <c r="J223" i="3"/>
  <c r="G223" i="3"/>
  <c r="K223" i="3" s="1"/>
  <c r="M222" i="3"/>
  <c r="K222" i="3"/>
  <c r="J222" i="3"/>
  <c r="I222" i="3"/>
  <c r="O222" i="3" s="1"/>
  <c r="H222" i="3"/>
  <c r="M221" i="3"/>
  <c r="J221" i="3"/>
  <c r="G221" i="3"/>
  <c r="K221" i="3" s="1"/>
  <c r="M220" i="3"/>
  <c r="K220" i="3"/>
  <c r="J220" i="3"/>
  <c r="H220" i="3"/>
  <c r="N220" i="3" s="1"/>
  <c r="M219" i="3"/>
  <c r="J219" i="3"/>
  <c r="O219" i="3" s="1"/>
  <c r="G219" i="3"/>
  <c r="K219" i="3" s="1"/>
  <c r="M218" i="3"/>
  <c r="K218" i="3"/>
  <c r="J218" i="3"/>
  <c r="I218" i="3"/>
  <c r="H218" i="3"/>
  <c r="M217" i="3"/>
  <c r="K217" i="3"/>
  <c r="J217" i="3"/>
  <c r="H217" i="3"/>
  <c r="N217" i="3" s="1"/>
  <c r="M216" i="3"/>
  <c r="K216" i="3"/>
  <c r="J216" i="3"/>
  <c r="O216" i="3" s="1"/>
  <c r="H216" i="3"/>
  <c r="N216" i="3" s="1"/>
  <c r="P216" i="3" s="1"/>
  <c r="O215" i="3"/>
  <c r="G215" i="3"/>
  <c r="K215" i="3" s="1"/>
  <c r="O214" i="3"/>
  <c r="K214" i="3"/>
  <c r="H214" i="3"/>
  <c r="N214" i="3" s="1"/>
  <c r="P214" i="3" s="1"/>
  <c r="M213" i="3"/>
  <c r="J213" i="3"/>
  <c r="G213" i="3"/>
  <c r="K213" i="3" s="1"/>
  <c r="M212" i="3"/>
  <c r="K212" i="3"/>
  <c r="J212" i="3"/>
  <c r="O212" i="3" s="1"/>
  <c r="H212" i="3"/>
  <c r="N212" i="3" s="1"/>
  <c r="P212" i="3" s="1"/>
  <c r="M211" i="3"/>
  <c r="K211" i="3"/>
  <c r="J211" i="3"/>
  <c r="H211" i="3"/>
  <c r="M210" i="3"/>
  <c r="K210" i="3"/>
  <c r="J210" i="3"/>
  <c r="H210" i="3"/>
  <c r="N210" i="3" s="1"/>
  <c r="M209" i="3"/>
  <c r="K209" i="3"/>
  <c r="J209" i="3"/>
  <c r="O209" i="3" s="1"/>
  <c r="H209" i="3"/>
  <c r="N209" i="3" s="1"/>
  <c r="P209" i="3" s="1"/>
  <c r="M208" i="3"/>
  <c r="J208" i="3"/>
  <c r="O208" i="3" s="1"/>
  <c r="G208" i="3"/>
  <c r="K208" i="3" s="1"/>
  <c r="M207" i="3"/>
  <c r="K207" i="3"/>
  <c r="J207" i="3"/>
  <c r="O207" i="3" s="1"/>
  <c r="H207" i="3"/>
  <c r="M206" i="3"/>
  <c r="K206" i="3"/>
  <c r="J206" i="3"/>
  <c r="O206" i="3" s="1"/>
  <c r="H206" i="3"/>
  <c r="N206" i="3" s="1"/>
  <c r="M205" i="3"/>
  <c r="K205" i="3"/>
  <c r="J205" i="3"/>
  <c r="O205" i="3" s="1"/>
  <c r="H205" i="3"/>
  <c r="N205" i="3" s="1"/>
  <c r="M204" i="3"/>
  <c r="K204" i="3"/>
  <c r="J204" i="3"/>
  <c r="O204" i="3" s="1"/>
  <c r="H204" i="3"/>
  <c r="O203" i="3"/>
  <c r="K203" i="3"/>
  <c r="H203" i="3"/>
  <c r="N203" i="3" s="1"/>
  <c r="P203" i="3" s="1"/>
  <c r="M202" i="3"/>
  <c r="K202" i="3"/>
  <c r="J202" i="3"/>
  <c r="H202" i="3"/>
  <c r="N202" i="3" s="1"/>
  <c r="M201" i="3"/>
  <c r="K201" i="3"/>
  <c r="J201" i="3"/>
  <c r="O201" i="3" s="1"/>
  <c r="H201" i="3"/>
  <c r="N201" i="3" s="1"/>
  <c r="M200" i="3"/>
  <c r="K200" i="3"/>
  <c r="J200" i="3"/>
  <c r="H200" i="3"/>
  <c r="N200" i="3" s="1"/>
  <c r="M199" i="3"/>
  <c r="K199" i="3"/>
  <c r="J199" i="3"/>
  <c r="H199" i="3"/>
  <c r="N199" i="3" s="1"/>
  <c r="M198" i="3"/>
  <c r="K198" i="3"/>
  <c r="J198" i="3"/>
  <c r="O198" i="3" s="1"/>
  <c r="H198" i="3"/>
  <c r="N198" i="3" s="1"/>
  <c r="M197" i="3"/>
  <c r="K197" i="3"/>
  <c r="J197" i="3"/>
  <c r="O197" i="3" s="1"/>
  <c r="H197" i="3"/>
  <c r="N197" i="3" s="1"/>
  <c r="P197" i="3" s="1"/>
  <c r="O196" i="3"/>
  <c r="K196" i="3"/>
  <c r="H196" i="3"/>
  <c r="O195" i="3"/>
  <c r="K195" i="3"/>
  <c r="H195" i="3"/>
  <c r="N195" i="3" s="1"/>
  <c r="O194" i="3"/>
  <c r="K194" i="3"/>
  <c r="H194" i="3"/>
  <c r="O193" i="3"/>
  <c r="K193" i="3"/>
  <c r="H193" i="3"/>
  <c r="N193" i="3" s="1"/>
  <c r="P193" i="3" s="1"/>
  <c r="O192" i="3"/>
  <c r="K192" i="3"/>
  <c r="H192" i="3"/>
  <c r="O191" i="3"/>
  <c r="K191" i="3"/>
  <c r="H191" i="3"/>
  <c r="N191" i="3" s="1"/>
  <c r="F191" i="3"/>
  <c r="O190" i="3"/>
  <c r="K190" i="3"/>
  <c r="H190" i="3"/>
  <c r="N190" i="3" s="1"/>
  <c r="O189" i="3"/>
  <c r="K189" i="3"/>
  <c r="H189" i="3"/>
  <c r="O188" i="3"/>
  <c r="K188" i="3"/>
  <c r="H188" i="3"/>
  <c r="N188" i="3" s="1"/>
  <c r="P188" i="3" s="1"/>
  <c r="M187" i="3"/>
  <c r="K187" i="3"/>
  <c r="J187" i="3"/>
  <c r="O187" i="3" s="1"/>
  <c r="H187" i="3"/>
  <c r="N187" i="3" s="1"/>
  <c r="M186" i="3"/>
  <c r="J186" i="3"/>
  <c r="O186" i="3" s="1"/>
  <c r="G186" i="3"/>
  <c r="K186" i="3" s="1"/>
  <c r="M185" i="3"/>
  <c r="K185" i="3"/>
  <c r="J185" i="3"/>
  <c r="H185" i="3"/>
  <c r="M184" i="3"/>
  <c r="L184" i="3"/>
  <c r="K184" i="3"/>
  <c r="J184" i="3"/>
  <c r="H184" i="3"/>
  <c r="N184" i="3" s="1"/>
  <c r="M183" i="3"/>
  <c r="K183" i="3"/>
  <c r="J183" i="3"/>
  <c r="O183" i="3" s="1"/>
  <c r="H183" i="3"/>
  <c r="N183" i="3" s="1"/>
  <c r="P183" i="3" s="1"/>
  <c r="M182" i="3"/>
  <c r="K182" i="3"/>
  <c r="J182" i="3"/>
  <c r="H182" i="3"/>
  <c r="N182" i="3" s="1"/>
  <c r="O181" i="3"/>
  <c r="K181" i="3"/>
  <c r="H181" i="3"/>
  <c r="N181" i="3" s="1"/>
  <c r="P181" i="3" s="1"/>
  <c r="O180" i="3"/>
  <c r="K180" i="3"/>
  <c r="H180" i="3"/>
  <c r="N180" i="3" s="1"/>
  <c r="M179" i="3"/>
  <c r="K179" i="3"/>
  <c r="J179" i="3"/>
  <c r="H179" i="3"/>
  <c r="M178" i="3"/>
  <c r="K178" i="3"/>
  <c r="J178" i="3"/>
  <c r="O178" i="3" s="1"/>
  <c r="H178" i="3"/>
  <c r="O177" i="3"/>
  <c r="K177" i="3"/>
  <c r="H177" i="3"/>
  <c r="O176" i="3"/>
  <c r="K176" i="3"/>
  <c r="H176" i="3"/>
  <c r="N176" i="3" s="1"/>
  <c r="P176" i="3" s="1"/>
  <c r="O175" i="3"/>
  <c r="K175" i="3"/>
  <c r="H175" i="3"/>
  <c r="O174" i="3"/>
  <c r="K174" i="3"/>
  <c r="H174" i="3"/>
  <c r="N174" i="3" s="1"/>
  <c r="M173" i="3"/>
  <c r="K173" i="3"/>
  <c r="J173" i="3"/>
  <c r="H173" i="3"/>
  <c r="N173" i="3" s="1"/>
  <c r="O172" i="3"/>
  <c r="K172" i="3"/>
  <c r="H172" i="3"/>
  <c r="K171" i="3"/>
  <c r="J171" i="3"/>
  <c r="O171" i="3" s="1"/>
  <c r="H171" i="3"/>
  <c r="N171" i="3" s="1"/>
  <c r="P171" i="3" s="1"/>
  <c r="O170" i="3"/>
  <c r="K170" i="3"/>
  <c r="H170" i="3"/>
  <c r="N170" i="3" s="1"/>
  <c r="P170" i="3" s="1"/>
  <c r="M169" i="3"/>
  <c r="K169" i="3"/>
  <c r="J169" i="3"/>
  <c r="O169" i="3" s="1"/>
  <c r="H169" i="3"/>
  <c r="N169" i="3" s="1"/>
  <c r="M168" i="3"/>
  <c r="J168" i="3"/>
  <c r="G168" i="3"/>
  <c r="K168" i="3" s="1"/>
  <c r="O167" i="3"/>
  <c r="G167" i="3"/>
  <c r="K167" i="3" s="1"/>
  <c r="M166" i="3"/>
  <c r="K166" i="3"/>
  <c r="J166" i="3"/>
  <c r="O166" i="3" s="1"/>
  <c r="H166" i="3"/>
  <c r="N166" i="3" s="1"/>
  <c r="M165" i="3"/>
  <c r="K165" i="3"/>
  <c r="J165" i="3"/>
  <c r="O165" i="3" s="1"/>
  <c r="H165" i="3"/>
  <c r="N165" i="3" s="1"/>
  <c r="P165" i="3" s="1"/>
  <c r="O164" i="3"/>
  <c r="K164" i="3"/>
  <c r="H164" i="3"/>
  <c r="O163" i="3"/>
  <c r="K163" i="3"/>
  <c r="H163" i="3"/>
  <c r="N163" i="3" s="1"/>
  <c r="M162" i="3"/>
  <c r="K162" i="3"/>
  <c r="J162" i="3"/>
  <c r="H162" i="3"/>
  <c r="N162" i="3" s="1"/>
  <c r="M161" i="3"/>
  <c r="J161" i="3"/>
  <c r="O161" i="3" s="1"/>
  <c r="G161" i="3"/>
  <c r="K161" i="3" s="1"/>
  <c r="M160" i="3"/>
  <c r="L160" i="3"/>
  <c r="K160" i="3"/>
  <c r="J160" i="3"/>
  <c r="I160" i="3"/>
  <c r="H160" i="3"/>
  <c r="M159" i="3"/>
  <c r="K159" i="3"/>
  <c r="J159" i="3"/>
  <c r="I159" i="3"/>
  <c r="O159" i="3" s="1"/>
  <c r="H159" i="3"/>
  <c r="N159" i="3" s="1"/>
  <c r="P159" i="3" s="1"/>
  <c r="O158" i="3"/>
  <c r="K158" i="3"/>
  <c r="H158" i="3"/>
  <c r="M157" i="3"/>
  <c r="K157" i="3"/>
  <c r="J157" i="3"/>
  <c r="H157" i="3"/>
  <c r="N157" i="3" s="1"/>
  <c r="O156" i="3"/>
  <c r="K156" i="3"/>
  <c r="H156" i="3"/>
  <c r="N156" i="3" s="1"/>
  <c r="P156" i="3" s="1"/>
  <c r="M155" i="3"/>
  <c r="K155" i="3"/>
  <c r="J155" i="3"/>
  <c r="H155" i="3"/>
  <c r="M154" i="3"/>
  <c r="K154" i="3"/>
  <c r="J154" i="3"/>
  <c r="H154" i="3"/>
  <c r="O153" i="3"/>
  <c r="K153" i="3"/>
  <c r="H153" i="3"/>
  <c r="N153" i="3" s="1"/>
  <c r="M152" i="3"/>
  <c r="K152" i="3"/>
  <c r="J152" i="3"/>
  <c r="O152" i="3" s="1"/>
  <c r="H152" i="3"/>
  <c r="M151" i="3"/>
  <c r="K151" i="3"/>
  <c r="J151" i="3"/>
  <c r="O151" i="3" s="1"/>
  <c r="H151" i="3"/>
  <c r="N151" i="3" s="1"/>
  <c r="O150" i="3"/>
  <c r="K150" i="3"/>
  <c r="H150" i="3"/>
  <c r="M149" i="3"/>
  <c r="K149" i="3"/>
  <c r="J149" i="3"/>
  <c r="O149" i="3" s="1"/>
  <c r="H149" i="3"/>
  <c r="N149" i="3" s="1"/>
  <c r="P149" i="3" s="1"/>
  <c r="O148" i="3"/>
  <c r="K148" i="3"/>
  <c r="H148" i="3"/>
  <c r="O147" i="3"/>
  <c r="K147" i="3"/>
  <c r="H147" i="3"/>
  <c r="N147" i="3" s="1"/>
  <c r="O146" i="3"/>
  <c r="K146" i="3"/>
  <c r="H146" i="3"/>
  <c r="N146" i="3" s="1"/>
  <c r="O145" i="3"/>
  <c r="K145" i="3"/>
  <c r="H145" i="3"/>
  <c r="N145" i="3" s="1"/>
  <c r="P145" i="3" s="1"/>
  <c r="O144" i="3"/>
  <c r="K144" i="3"/>
  <c r="H144" i="3"/>
  <c r="N144" i="3" s="1"/>
  <c r="P144" i="3" s="1"/>
  <c r="O143" i="3"/>
  <c r="K143" i="3"/>
  <c r="H143" i="3"/>
  <c r="N143" i="3" s="1"/>
  <c r="O142" i="3"/>
  <c r="K142" i="3"/>
  <c r="H142" i="3"/>
  <c r="N142" i="3" s="1"/>
  <c r="P142" i="3" s="1"/>
  <c r="M141" i="3"/>
  <c r="K141" i="3"/>
  <c r="J141" i="3"/>
  <c r="O141" i="3" s="1"/>
  <c r="H141" i="3"/>
  <c r="M140" i="3"/>
  <c r="K140" i="3"/>
  <c r="J140" i="3"/>
  <c r="O140" i="3" s="1"/>
  <c r="H140" i="3"/>
  <c r="O139" i="3"/>
  <c r="K139" i="3"/>
  <c r="H139" i="3"/>
  <c r="M138" i="3"/>
  <c r="K138" i="3"/>
  <c r="J138" i="3"/>
  <c r="H138" i="3"/>
  <c r="N138" i="3" s="1"/>
  <c r="O137" i="3"/>
  <c r="K137" i="3"/>
  <c r="H137" i="3"/>
  <c r="N137" i="3" s="1"/>
  <c r="P137" i="3" s="1"/>
  <c r="M136" i="3"/>
  <c r="K136" i="3"/>
  <c r="J136" i="3"/>
  <c r="H136" i="3"/>
  <c r="N136" i="3" s="1"/>
  <c r="M135" i="3"/>
  <c r="K135" i="3"/>
  <c r="J135" i="3"/>
  <c r="O135" i="3" s="1"/>
  <c r="H135" i="3"/>
  <c r="N135" i="3" s="1"/>
  <c r="P135" i="3" s="1"/>
  <c r="O134" i="3"/>
  <c r="K134" i="3"/>
  <c r="H134" i="3"/>
  <c r="O133" i="3"/>
  <c r="K133" i="3"/>
  <c r="H133" i="3"/>
  <c r="M132" i="3"/>
  <c r="K132" i="3"/>
  <c r="J132" i="3"/>
  <c r="H132" i="3"/>
  <c r="N132" i="3" s="1"/>
  <c r="M131" i="3"/>
  <c r="K131" i="3"/>
  <c r="J131" i="3"/>
  <c r="O131" i="3" s="1"/>
  <c r="H131" i="3"/>
  <c r="M130" i="3"/>
  <c r="K130" i="3"/>
  <c r="J130" i="3"/>
  <c r="O130" i="3" s="1"/>
  <c r="H130" i="3"/>
  <c r="M129" i="3"/>
  <c r="K129" i="3"/>
  <c r="J129" i="3"/>
  <c r="O129" i="3" s="1"/>
  <c r="H129" i="3"/>
  <c r="N129" i="3" s="1"/>
  <c r="M128" i="3"/>
  <c r="K128" i="3"/>
  <c r="J128" i="3"/>
  <c r="O128" i="3" s="1"/>
  <c r="H128" i="3"/>
  <c r="O127" i="3"/>
  <c r="K127" i="3"/>
  <c r="H127" i="3"/>
  <c r="N127" i="3" s="1"/>
  <c r="P127" i="3" s="1"/>
  <c r="M126" i="3"/>
  <c r="K126" i="3"/>
  <c r="J126" i="3"/>
  <c r="O126" i="3" s="1"/>
  <c r="H126" i="3"/>
  <c r="N126" i="3" s="1"/>
  <c r="P126" i="3" s="1"/>
  <c r="M125" i="3"/>
  <c r="K125" i="3"/>
  <c r="J125" i="3"/>
  <c r="O125" i="3" s="1"/>
  <c r="H125" i="3"/>
  <c r="N125" i="3" s="1"/>
  <c r="P125" i="3" s="1"/>
  <c r="O124" i="3"/>
  <c r="K124" i="3"/>
  <c r="H124" i="3"/>
  <c r="N124" i="3" s="1"/>
  <c r="P124" i="3" s="1"/>
  <c r="O123" i="3"/>
  <c r="K123" i="3"/>
  <c r="H123" i="3"/>
  <c r="N123" i="3" s="1"/>
  <c r="M122" i="3"/>
  <c r="K122" i="3"/>
  <c r="J122" i="3"/>
  <c r="O122" i="3" s="1"/>
  <c r="H122" i="3"/>
  <c r="O121" i="3"/>
  <c r="K121" i="3"/>
  <c r="H121" i="3"/>
  <c r="M120" i="3"/>
  <c r="K120" i="3"/>
  <c r="J120" i="3"/>
  <c r="O120" i="3" s="1"/>
  <c r="H120" i="3"/>
  <c r="O119" i="3"/>
  <c r="K119" i="3"/>
  <c r="H119" i="3"/>
  <c r="N119" i="3" s="1"/>
  <c r="P119" i="3" s="1"/>
  <c r="M118" i="3"/>
  <c r="K118" i="3"/>
  <c r="J118" i="3"/>
  <c r="O118" i="3" s="1"/>
  <c r="H118" i="3"/>
  <c r="N118" i="3" s="1"/>
  <c r="P118" i="3" s="1"/>
  <c r="K117" i="3"/>
  <c r="J117" i="3"/>
  <c r="O117" i="3" s="1"/>
  <c r="H117" i="3"/>
  <c r="N117" i="3" s="1"/>
  <c r="P117" i="3" s="1"/>
  <c r="O116" i="3"/>
  <c r="K116" i="3"/>
  <c r="H116" i="3"/>
  <c r="N116" i="3" s="1"/>
  <c r="M115" i="3"/>
  <c r="K115" i="3"/>
  <c r="J115" i="3"/>
  <c r="O115" i="3" s="1"/>
  <c r="H115" i="3"/>
  <c r="O114" i="3"/>
  <c r="K114" i="3"/>
  <c r="H114" i="3"/>
  <c r="M113" i="3"/>
  <c r="K113" i="3"/>
  <c r="J113" i="3"/>
  <c r="O113" i="3" s="1"/>
  <c r="H113" i="3"/>
  <c r="O112" i="3"/>
  <c r="K112" i="3"/>
  <c r="H112" i="3"/>
  <c r="N112" i="3" s="1"/>
  <c r="P112" i="3" s="1"/>
  <c r="O111" i="3"/>
  <c r="K111" i="3"/>
  <c r="H111" i="3"/>
  <c r="N111" i="3" s="1"/>
  <c r="O110" i="3"/>
  <c r="K110" i="3"/>
  <c r="H110" i="3"/>
  <c r="N110" i="3" s="1"/>
  <c r="O109" i="3"/>
  <c r="K109" i="3"/>
  <c r="H109" i="3"/>
  <c r="M108" i="3"/>
  <c r="K108" i="3"/>
  <c r="J108" i="3"/>
  <c r="O108" i="3" s="1"/>
  <c r="H108" i="3"/>
  <c r="N108" i="3" s="1"/>
  <c r="M107" i="3"/>
  <c r="K107" i="3"/>
  <c r="J107" i="3"/>
  <c r="O107" i="3" s="1"/>
  <c r="H107" i="3"/>
  <c r="M106" i="3"/>
  <c r="K106" i="3"/>
  <c r="J106" i="3"/>
  <c r="O106" i="3" s="1"/>
  <c r="H106" i="3"/>
  <c r="M105" i="3"/>
  <c r="K105" i="3"/>
  <c r="J105" i="3"/>
  <c r="O105" i="3" s="1"/>
  <c r="H105" i="3"/>
  <c r="N105" i="3" s="1"/>
  <c r="M104" i="3"/>
  <c r="K104" i="3"/>
  <c r="J104" i="3"/>
  <c r="O104" i="3" s="1"/>
  <c r="H104" i="3"/>
  <c r="M103" i="3"/>
  <c r="K103" i="3"/>
  <c r="J103" i="3"/>
  <c r="O103" i="3" s="1"/>
  <c r="H103" i="3"/>
  <c r="N103" i="3" s="1"/>
  <c r="M102" i="3"/>
  <c r="K102" i="3"/>
  <c r="J102" i="3"/>
  <c r="O102" i="3" s="1"/>
  <c r="H102" i="3"/>
  <c r="N102" i="3" s="1"/>
  <c r="O101" i="3"/>
  <c r="G101" i="3"/>
  <c r="K101" i="3" s="1"/>
  <c r="O100" i="3"/>
  <c r="K100" i="3"/>
  <c r="H100" i="3"/>
  <c r="N100" i="3" s="1"/>
  <c r="M99" i="3"/>
  <c r="K99" i="3"/>
  <c r="J99" i="3"/>
  <c r="O99" i="3" s="1"/>
  <c r="H99" i="3"/>
  <c r="M98" i="3"/>
  <c r="K98" i="3"/>
  <c r="J98" i="3"/>
  <c r="O98" i="3" s="1"/>
  <c r="H98" i="3"/>
  <c r="M97" i="3"/>
  <c r="L97" i="3"/>
  <c r="K97" i="3"/>
  <c r="J97" i="3"/>
  <c r="H97" i="3"/>
  <c r="N97" i="3" s="1"/>
  <c r="M96" i="3"/>
  <c r="L96" i="3"/>
  <c r="K96" i="3"/>
  <c r="J96" i="3"/>
  <c r="H96" i="3"/>
  <c r="N96" i="3" s="1"/>
  <c r="M95" i="3"/>
  <c r="K95" i="3"/>
  <c r="J95" i="3"/>
  <c r="H95" i="3"/>
  <c r="N95" i="3" s="1"/>
  <c r="M94" i="3"/>
  <c r="K94" i="3"/>
  <c r="J94" i="3"/>
  <c r="O94" i="3" s="1"/>
  <c r="H94" i="3"/>
  <c r="N94" i="3" s="1"/>
  <c r="P94" i="3" s="1"/>
  <c r="M93" i="3"/>
  <c r="K93" i="3"/>
  <c r="J93" i="3"/>
  <c r="O93" i="3" s="1"/>
  <c r="H93" i="3"/>
  <c r="N93" i="3" s="1"/>
  <c r="P93" i="3" s="1"/>
  <c r="M92" i="3"/>
  <c r="K92" i="3"/>
  <c r="J92" i="3"/>
  <c r="H92" i="3"/>
  <c r="N92" i="3" s="1"/>
  <c r="O91" i="3"/>
  <c r="K91" i="3"/>
  <c r="H91" i="3"/>
  <c r="N91" i="3" s="1"/>
  <c r="P91" i="3" s="1"/>
  <c r="M90" i="3"/>
  <c r="K90" i="3"/>
  <c r="J90" i="3"/>
  <c r="H90" i="3"/>
  <c r="N90" i="3" s="1"/>
  <c r="O89" i="3"/>
  <c r="K89" i="3"/>
  <c r="H89" i="3"/>
  <c r="O88" i="3"/>
  <c r="K88" i="3"/>
  <c r="H88" i="3"/>
  <c r="O87" i="3"/>
  <c r="K87" i="3"/>
  <c r="H87" i="3"/>
  <c r="N87" i="3" s="1"/>
  <c r="P87" i="3" s="1"/>
  <c r="M86" i="3"/>
  <c r="K86" i="3"/>
  <c r="J86" i="3"/>
  <c r="O86" i="3" s="1"/>
  <c r="H86" i="3"/>
  <c r="N86" i="3" s="1"/>
  <c r="P86" i="3" s="1"/>
  <c r="M85" i="3"/>
  <c r="K85" i="3"/>
  <c r="J85" i="3"/>
  <c r="H85" i="3"/>
  <c r="N85" i="3" s="1"/>
  <c r="O84" i="3"/>
  <c r="K84" i="3"/>
  <c r="H84" i="3"/>
  <c r="N84" i="3" s="1"/>
  <c r="P84" i="3" s="1"/>
  <c r="O83" i="3"/>
  <c r="K83" i="3"/>
  <c r="H83" i="3"/>
  <c r="N83" i="3" s="1"/>
  <c r="O82" i="3"/>
  <c r="K82" i="3"/>
  <c r="H82" i="3"/>
  <c r="M81" i="3"/>
  <c r="K81" i="3"/>
  <c r="J81" i="3"/>
  <c r="O81" i="3" s="1"/>
  <c r="H81" i="3"/>
  <c r="M80" i="3"/>
  <c r="K80" i="3"/>
  <c r="J80" i="3"/>
  <c r="O80" i="3" s="1"/>
  <c r="H80" i="3"/>
  <c r="M79" i="3"/>
  <c r="K79" i="3"/>
  <c r="J79" i="3"/>
  <c r="O79" i="3" s="1"/>
  <c r="H79" i="3"/>
  <c r="N79" i="3" s="1"/>
  <c r="M78" i="3"/>
  <c r="K78" i="3"/>
  <c r="J78" i="3"/>
  <c r="O78" i="3" s="1"/>
  <c r="H78" i="3"/>
  <c r="M77" i="3"/>
  <c r="L77" i="3"/>
  <c r="K77" i="3"/>
  <c r="J77" i="3"/>
  <c r="H77" i="3"/>
  <c r="M76" i="3"/>
  <c r="K76" i="3"/>
  <c r="J76" i="3"/>
  <c r="O76" i="3" s="1"/>
  <c r="H76" i="3"/>
  <c r="M75" i="3"/>
  <c r="K75" i="3"/>
  <c r="J75" i="3"/>
  <c r="O75" i="3" s="1"/>
  <c r="H75" i="3"/>
  <c r="O74" i="3"/>
  <c r="K74" i="3"/>
  <c r="H74" i="3"/>
  <c r="M73" i="3"/>
  <c r="K73" i="3"/>
  <c r="J73" i="3"/>
  <c r="O73" i="3" s="1"/>
  <c r="H73" i="3"/>
  <c r="N73" i="3" s="1"/>
  <c r="M72" i="3"/>
  <c r="K72" i="3"/>
  <c r="J72" i="3"/>
  <c r="O72" i="3" s="1"/>
  <c r="H72" i="3"/>
  <c r="N72" i="3" s="1"/>
  <c r="M71" i="3"/>
  <c r="K71" i="3"/>
  <c r="J71" i="3"/>
  <c r="O71" i="3" s="1"/>
  <c r="H71" i="3"/>
  <c r="O70" i="3"/>
  <c r="K70" i="3"/>
  <c r="H70" i="3"/>
  <c r="N70" i="3" s="1"/>
  <c r="P70" i="3" s="1"/>
  <c r="O69" i="3"/>
  <c r="K69" i="3"/>
  <c r="H69" i="3"/>
  <c r="N69" i="3" s="1"/>
  <c r="O68" i="3"/>
  <c r="K68" i="3"/>
  <c r="H68" i="3"/>
  <c r="O67" i="3"/>
  <c r="G67" i="3"/>
  <c r="K67" i="3" s="1"/>
  <c r="O66" i="3"/>
  <c r="K66" i="3"/>
  <c r="H66" i="3"/>
  <c r="N66" i="3" s="1"/>
  <c r="P66" i="3" s="1"/>
  <c r="O65" i="3"/>
  <c r="K65" i="3"/>
  <c r="H65" i="3"/>
  <c r="K64" i="3"/>
  <c r="J64" i="3"/>
  <c r="O64" i="3" s="1"/>
  <c r="H64" i="3"/>
  <c r="N64" i="3" s="1"/>
  <c r="M63" i="3"/>
  <c r="K63" i="3"/>
  <c r="J63" i="3"/>
  <c r="O63" i="3" s="1"/>
  <c r="H63" i="3"/>
  <c r="M62" i="3"/>
  <c r="K62" i="3"/>
  <c r="J62" i="3"/>
  <c r="O62" i="3" s="1"/>
  <c r="H62" i="3"/>
  <c r="N62" i="3" s="1"/>
  <c r="M61" i="3"/>
  <c r="K61" i="3"/>
  <c r="J61" i="3"/>
  <c r="O61" i="3" s="1"/>
  <c r="H61" i="3"/>
  <c r="N61" i="3" s="1"/>
  <c r="M60" i="3"/>
  <c r="K60" i="3"/>
  <c r="J60" i="3"/>
  <c r="O60" i="3" s="1"/>
  <c r="H60" i="3"/>
  <c r="M59" i="3"/>
  <c r="K59" i="3"/>
  <c r="J59" i="3"/>
  <c r="O59" i="3" s="1"/>
  <c r="H59" i="3"/>
  <c r="N59" i="3" s="1"/>
  <c r="M58" i="3"/>
  <c r="K58" i="3"/>
  <c r="J58" i="3"/>
  <c r="O58" i="3" s="1"/>
  <c r="H58" i="3"/>
  <c r="N58" i="3" s="1"/>
  <c r="M57" i="3"/>
  <c r="J57" i="3"/>
  <c r="O57" i="3" s="1"/>
  <c r="G57" i="3"/>
  <c r="K57" i="3" s="1"/>
  <c r="M56" i="3"/>
  <c r="K56" i="3"/>
  <c r="J56" i="3"/>
  <c r="O56" i="3" s="1"/>
  <c r="H56" i="3"/>
  <c r="N56" i="3" s="1"/>
  <c r="P56" i="3" s="1"/>
  <c r="M55" i="3"/>
  <c r="K55" i="3"/>
  <c r="J55" i="3"/>
  <c r="H55" i="3"/>
  <c r="N55" i="3" s="1"/>
  <c r="M54" i="3"/>
  <c r="K54" i="3"/>
  <c r="J54" i="3"/>
  <c r="H54" i="3"/>
  <c r="N54" i="3" s="1"/>
  <c r="O53" i="3"/>
  <c r="G53" i="3"/>
  <c r="K53" i="3" s="1"/>
  <c r="O52" i="3"/>
  <c r="G52" i="3"/>
  <c r="K52" i="3" s="1"/>
  <c r="M51" i="3"/>
  <c r="K51" i="3"/>
  <c r="J51" i="3"/>
  <c r="H51" i="3"/>
  <c r="N51" i="3" s="1"/>
  <c r="O50" i="3"/>
  <c r="G50" i="3"/>
  <c r="K50" i="3" s="1"/>
  <c r="O49" i="3"/>
  <c r="K49" i="3"/>
  <c r="H49" i="3"/>
  <c r="M48" i="3"/>
  <c r="K48" i="3"/>
  <c r="J48" i="3"/>
  <c r="O48" i="3" s="1"/>
  <c r="H48" i="3"/>
  <c r="N48" i="3" s="1"/>
  <c r="O47" i="3"/>
  <c r="K47" i="3"/>
  <c r="H47" i="3"/>
  <c r="N47" i="3" s="1"/>
  <c r="P47" i="3" s="1"/>
  <c r="M46" i="3"/>
  <c r="K46" i="3"/>
  <c r="J46" i="3"/>
  <c r="H46" i="3"/>
  <c r="N46" i="3" s="1"/>
  <c r="M45" i="3"/>
  <c r="J45" i="3"/>
  <c r="G45" i="3"/>
  <c r="K45" i="3" s="1"/>
  <c r="M44" i="3"/>
  <c r="K44" i="3"/>
  <c r="J44" i="3"/>
  <c r="H44" i="3"/>
  <c r="M43" i="3"/>
  <c r="K43" i="3"/>
  <c r="J43" i="3"/>
  <c r="H43" i="3"/>
  <c r="O42" i="3"/>
  <c r="K42" i="3"/>
  <c r="H42" i="3"/>
  <c r="N42" i="3" s="1"/>
  <c r="O41" i="3"/>
  <c r="K41" i="3"/>
  <c r="H41" i="3"/>
  <c r="O40" i="3"/>
  <c r="K40" i="3"/>
  <c r="H40" i="3"/>
  <c r="N40" i="3" s="1"/>
  <c r="P40" i="3" s="1"/>
  <c r="K39" i="3"/>
  <c r="J39" i="3"/>
  <c r="O39" i="3" s="1"/>
  <c r="H39" i="3"/>
  <c r="N39" i="3" s="1"/>
  <c r="P39" i="3" s="1"/>
  <c r="M38" i="3"/>
  <c r="K38" i="3"/>
  <c r="J38" i="3"/>
  <c r="H38" i="3"/>
  <c r="N38" i="3" s="1"/>
  <c r="M37" i="3"/>
  <c r="K37" i="3"/>
  <c r="J37" i="3"/>
  <c r="H37" i="3"/>
  <c r="O36" i="3"/>
  <c r="K36" i="3"/>
  <c r="H36" i="3"/>
  <c r="O35" i="3"/>
  <c r="K35" i="3"/>
  <c r="H35" i="3"/>
  <c r="M34" i="3"/>
  <c r="K34" i="3"/>
  <c r="J34" i="3"/>
  <c r="O34" i="3" s="1"/>
  <c r="H34" i="3"/>
  <c r="N34" i="3" s="1"/>
  <c r="O33" i="3"/>
  <c r="K33" i="3"/>
  <c r="H33" i="3"/>
  <c r="N33" i="3" s="1"/>
  <c r="P33" i="3" s="1"/>
  <c r="M32" i="3"/>
  <c r="K32" i="3"/>
  <c r="J32" i="3"/>
  <c r="O32" i="3" s="1"/>
  <c r="H32" i="3"/>
  <c r="N32" i="3" s="1"/>
  <c r="P32" i="3" s="1"/>
  <c r="M31" i="3"/>
  <c r="K31" i="3"/>
  <c r="J31" i="3"/>
  <c r="O31" i="3" s="1"/>
  <c r="H31" i="3"/>
  <c r="N31" i="3" s="1"/>
  <c r="P31" i="3" s="1"/>
  <c r="O30" i="3"/>
  <c r="K30" i="3"/>
  <c r="H30" i="3"/>
  <c r="N30" i="3" s="1"/>
  <c r="M29" i="3"/>
  <c r="K29" i="3"/>
  <c r="J29" i="3"/>
  <c r="H29" i="3"/>
  <c r="N29" i="3" s="1"/>
  <c r="M28" i="3"/>
  <c r="K28" i="3"/>
  <c r="J28" i="3"/>
  <c r="H28" i="3"/>
  <c r="N28" i="3" s="1"/>
  <c r="M27" i="3"/>
  <c r="K27" i="3"/>
  <c r="J27" i="3"/>
  <c r="H27" i="3"/>
  <c r="M26" i="3"/>
  <c r="K26" i="3"/>
  <c r="J26" i="3"/>
  <c r="H26" i="3"/>
  <c r="N26" i="3" s="1"/>
  <c r="M25" i="3"/>
  <c r="K25" i="3"/>
  <c r="J25" i="3"/>
  <c r="H25" i="3"/>
  <c r="N25" i="3" s="1"/>
  <c r="O24" i="3"/>
  <c r="G24" i="3"/>
  <c r="K24" i="3" s="1"/>
  <c r="M23" i="3"/>
  <c r="K23" i="3"/>
  <c r="J23" i="3"/>
  <c r="O23" i="3" s="1"/>
  <c r="H23" i="3"/>
  <c r="O22" i="3"/>
  <c r="K22" i="3"/>
  <c r="H22" i="3"/>
  <c r="N22" i="3" s="1"/>
  <c r="P22" i="3" s="1"/>
  <c r="M21" i="3"/>
  <c r="K21" i="3"/>
  <c r="J21" i="3"/>
  <c r="O21" i="3" s="1"/>
  <c r="H21" i="3"/>
  <c r="N21" i="3" s="1"/>
  <c r="P21" i="3" s="1"/>
  <c r="M20" i="3"/>
  <c r="K20" i="3"/>
  <c r="J20" i="3"/>
  <c r="H20" i="3"/>
  <c r="N20" i="3" s="1"/>
  <c r="O19" i="3"/>
  <c r="K19" i="3"/>
  <c r="H19" i="3"/>
  <c r="N19" i="3" s="1"/>
  <c r="P19" i="3" s="1"/>
  <c r="M18" i="3"/>
  <c r="K18" i="3"/>
  <c r="J18" i="3"/>
  <c r="H18" i="3"/>
  <c r="N18" i="3" s="1"/>
  <c r="O17" i="3"/>
  <c r="G17" i="3"/>
  <c r="K17" i="3" s="1"/>
  <c r="O16" i="3"/>
  <c r="K16" i="3"/>
  <c r="H16" i="3"/>
  <c r="N16" i="3" s="1"/>
  <c r="P16" i="3" s="1"/>
  <c r="O15" i="3"/>
  <c r="K15" i="3"/>
  <c r="H15" i="3"/>
  <c r="N15" i="3" s="1"/>
  <c r="P15" i="3" s="1"/>
  <c r="M14" i="3"/>
  <c r="K14" i="3"/>
  <c r="J14" i="3"/>
  <c r="H14" i="3"/>
  <c r="N14" i="3" s="1"/>
  <c r="M13" i="3"/>
  <c r="O13" i="3" s="1"/>
  <c r="K13" i="3"/>
  <c r="H13" i="3"/>
  <c r="M12" i="3"/>
  <c r="K12" i="3"/>
  <c r="J12" i="3"/>
  <c r="O12" i="3" s="1"/>
  <c r="H12" i="3"/>
  <c r="O11" i="3"/>
  <c r="K11" i="3"/>
  <c r="H11" i="3"/>
  <c r="O10" i="3"/>
  <c r="K10" i="3"/>
  <c r="H10" i="3"/>
  <c r="N10" i="3" s="1"/>
  <c r="P10" i="3" s="1"/>
  <c r="M9" i="3"/>
  <c r="K9" i="3"/>
  <c r="J9" i="3"/>
  <c r="H9" i="3"/>
  <c r="N9" i="3" s="1"/>
  <c r="M8" i="3"/>
  <c r="J8" i="3"/>
  <c r="G8" i="3"/>
  <c r="K8" i="3" s="1"/>
  <c r="M7" i="3"/>
  <c r="K7" i="3"/>
  <c r="J7" i="3"/>
  <c r="H7" i="3"/>
  <c r="N7" i="3" s="1"/>
  <c r="M6" i="3"/>
  <c r="K6" i="3"/>
  <c r="J6" i="3"/>
  <c r="H6" i="3"/>
  <c r="M5" i="3"/>
  <c r="K5" i="3"/>
  <c r="J5" i="3"/>
  <c r="H5" i="3"/>
  <c r="N5" i="3" s="1"/>
  <c r="L135" i="1"/>
  <c r="P208" i="2" l="1"/>
  <c r="P207" i="2"/>
  <c r="N43" i="3"/>
  <c r="O46" i="3"/>
  <c r="O54" i="3"/>
  <c r="P54" i="3" s="1"/>
  <c r="P97" i="3"/>
  <c r="N148" i="3"/>
  <c r="P148" i="3" s="1"/>
  <c r="N158" i="3"/>
  <c r="P158" i="3" s="1"/>
  <c r="N164" i="3"/>
  <c r="P164" i="3" s="1"/>
  <c r="N175" i="3"/>
  <c r="P175" i="3" s="1"/>
  <c r="O182" i="3"/>
  <c r="P182" i="3" s="1"/>
  <c r="N185" i="3"/>
  <c r="N192" i="3"/>
  <c r="P192" i="3" s="1"/>
  <c r="N196" i="3"/>
  <c r="P196" i="3" s="1"/>
  <c r="O199" i="3"/>
  <c r="O202" i="3"/>
  <c r="N222" i="3"/>
  <c r="P222" i="3" s="1"/>
  <c r="O232" i="3"/>
  <c r="P232" i="3" s="1"/>
  <c r="O239" i="3"/>
  <c r="N247" i="3"/>
  <c r="P247" i="3" s="1"/>
  <c r="O254" i="3"/>
  <c r="N258" i="3"/>
  <c r="P258" i="3" s="1"/>
  <c r="N261" i="3"/>
  <c r="P261" i="3" s="1"/>
  <c r="O264" i="3"/>
  <c r="O271" i="3"/>
  <c r="N278" i="3"/>
  <c r="P278" i="3" s="1"/>
  <c r="N285" i="3"/>
  <c r="P285" i="3" s="1"/>
  <c r="N302" i="3"/>
  <c r="P302" i="3" s="1"/>
  <c r="O316" i="3"/>
  <c r="O319" i="3"/>
  <c r="P319" i="3" s="1"/>
  <c r="O322" i="3"/>
  <c r="P322" i="3" s="1"/>
  <c r="N329" i="3"/>
  <c r="P329" i="3" s="1"/>
  <c r="O333" i="3"/>
  <c r="N337" i="3"/>
  <c r="P337" i="3" s="1"/>
  <c r="N353" i="3"/>
  <c r="P353" i="3" s="1"/>
  <c r="N363" i="3"/>
  <c r="P363" i="3" s="1"/>
  <c r="N367" i="3"/>
  <c r="P367" i="3" s="1"/>
  <c r="O370" i="3"/>
  <c r="N374" i="3"/>
  <c r="P374" i="3" s="1"/>
  <c r="N377" i="3"/>
  <c r="P377" i="3" s="1"/>
  <c r="N391" i="3"/>
  <c r="P391" i="3" s="1"/>
  <c r="O398" i="3"/>
  <c r="P398" i="3" s="1"/>
  <c r="N408" i="3"/>
  <c r="P408" i="3" s="1"/>
  <c r="N419" i="3"/>
  <c r="P419" i="3" s="1"/>
  <c r="N423" i="3"/>
  <c r="P423" i="3" s="1"/>
  <c r="N427" i="3"/>
  <c r="P427" i="3" s="1"/>
  <c r="O430" i="3"/>
  <c r="N434" i="3"/>
  <c r="P434" i="3" s="1"/>
  <c r="N438" i="3"/>
  <c r="P438" i="3" s="1"/>
  <c r="N455" i="3"/>
  <c r="P455" i="3" s="1"/>
  <c r="N462" i="3"/>
  <c r="P462" i="3" s="1"/>
  <c r="N465" i="3"/>
  <c r="P465" i="3" s="1"/>
  <c r="O475" i="3"/>
  <c r="N489" i="3"/>
  <c r="P489" i="3" s="1"/>
  <c r="N496" i="3"/>
  <c r="P496" i="3" s="1"/>
  <c r="N500" i="3"/>
  <c r="P500" i="3" s="1"/>
  <c r="N504" i="3"/>
  <c r="P504" i="3" s="1"/>
  <c r="N508" i="3"/>
  <c r="P508" i="3" s="1"/>
  <c r="N512" i="3"/>
  <c r="P512" i="3" s="1"/>
  <c r="N520" i="3"/>
  <c r="P520" i="3" s="1"/>
  <c r="O5" i="3"/>
  <c r="P5" i="3" s="1"/>
  <c r="O8" i="3"/>
  <c r="N12" i="3"/>
  <c r="P12" i="3" s="1"/>
  <c r="O26" i="3"/>
  <c r="P26" i="3" s="1"/>
  <c r="O29" i="3"/>
  <c r="P29" i="3" s="1"/>
  <c r="N36" i="3"/>
  <c r="P36" i="3" s="1"/>
  <c r="O43" i="3"/>
  <c r="N68" i="3"/>
  <c r="P68" i="3" s="1"/>
  <c r="N75" i="3"/>
  <c r="P75" i="3" s="1"/>
  <c r="O97" i="3"/>
  <c r="P100" i="3"/>
  <c r="P110" i="3"/>
  <c r="N134" i="3"/>
  <c r="P134" i="3" s="1"/>
  <c r="N155" i="3"/>
  <c r="P155" i="3" s="1"/>
  <c r="N179" i="3"/>
  <c r="P179" i="3" s="1"/>
  <c r="O185" i="3"/>
  <c r="N23" i="3"/>
  <c r="P23" i="3" s="1"/>
  <c r="P58" i="3"/>
  <c r="P61" i="3"/>
  <c r="P64" i="3"/>
  <c r="P72" i="3"/>
  <c r="N78" i="3"/>
  <c r="P78" i="3" s="1"/>
  <c r="N81" i="3"/>
  <c r="P81" i="3" s="1"/>
  <c r="N88" i="3"/>
  <c r="P88" i="3" s="1"/>
  <c r="N104" i="3"/>
  <c r="P104" i="3" s="1"/>
  <c r="N107" i="3"/>
  <c r="P107" i="3" s="1"/>
  <c r="N114" i="3"/>
  <c r="P114" i="3" s="1"/>
  <c r="N121" i="3"/>
  <c r="P121" i="3" s="1"/>
  <c r="N128" i="3"/>
  <c r="P128" i="3" s="1"/>
  <c r="N131" i="3"/>
  <c r="P131" i="3" s="1"/>
  <c r="N141" i="3"/>
  <c r="P141" i="3" s="1"/>
  <c r="N152" i="3"/>
  <c r="P152" i="3" s="1"/>
  <c r="O155" i="3"/>
  <c r="O168" i="3"/>
  <c r="N172" i="3"/>
  <c r="P172" i="3" s="1"/>
  <c r="O179" i="3"/>
  <c r="N189" i="3"/>
  <c r="P189" i="3" s="1"/>
  <c r="P206" i="3"/>
  <c r="P237" i="3"/>
  <c r="N240" i="3"/>
  <c r="P240" i="3" s="1"/>
  <c r="P244" i="3"/>
  <c r="N251" i="3"/>
  <c r="P251" i="3" s="1"/>
  <c r="P282" i="3"/>
  <c r="N290" i="3"/>
  <c r="P290" i="3" s="1"/>
  <c r="N486" i="3"/>
  <c r="P486" i="3" s="1"/>
  <c r="N517" i="3"/>
  <c r="P517" i="3" s="1"/>
  <c r="P264" i="3"/>
  <c r="P51" i="3"/>
  <c r="P55" i="3"/>
  <c r="P85" i="3"/>
  <c r="P92" i="3"/>
  <c r="N320" i="3"/>
  <c r="P320" i="3" s="1"/>
  <c r="N323" i="3"/>
  <c r="P323" i="3" s="1"/>
  <c r="P330" i="3"/>
  <c r="N334" i="3"/>
  <c r="P334" i="3" s="1"/>
  <c r="N341" i="3"/>
  <c r="O344" i="3"/>
  <c r="P344" i="3" s="1"/>
  <c r="O347" i="3"/>
  <c r="P347" i="3" s="1"/>
  <c r="N354" i="3"/>
  <c r="P354" i="3" s="1"/>
  <c r="O357" i="3"/>
  <c r="P357" i="3" s="1"/>
  <c r="P371" i="3"/>
  <c r="N375" i="3"/>
  <c r="N399" i="3"/>
  <c r="P399" i="3" s="1"/>
  <c r="N420" i="3"/>
  <c r="P420" i="3" s="1"/>
  <c r="N424" i="3"/>
  <c r="P424" i="3" s="1"/>
  <c r="N428" i="3"/>
  <c r="P428" i="3" s="1"/>
  <c r="N439" i="3"/>
  <c r="P439" i="3" s="1"/>
  <c r="N446" i="3"/>
  <c r="P446" i="3" s="1"/>
  <c r="O449" i="3"/>
  <c r="P449" i="3" s="1"/>
  <c r="N466" i="3"/>
  <c r="P466" i="3" s="1"/>
  <c r="O479" i="3"/>
  <c r="P479" i="3" s="1"/>
  <c r="P490" i="3"/>
  <c r="N497" i="3"/>
  <c r="P497" i="3" s="1"/>
  <c r="P501" i="3"/>
  <c r="P505" i="3"/>
  <c r="P509" i="3"/>
  <c r="P513" i="3"/>
  <c r="P521" i="3"/>
  <c r="P199" i="3"/>
  <c r="P333" i="3"/>
  <c r="N6" i="3"/>
  <c r="P6" i="3" s="1"/>
  <c r="O9" i="3"/>
  <c r="P9" i="3" s="1"/>
  <c r="O20" i="3"/>
  <c r="N27" i="3"/>
  <c r="P30" i="3"/>
  <c r="N37" i="3"/>
  <c r="N44" i="3"/>
  <c r="O51" i="3"/>
  <c r="O55" i="3"/>
  <c r="P69" i="3"/>
  <c r="O85" i="3"/>
  <c r="O92" i="3"/>
  <c r="O95" i="3"/>
  <c r="P95" i="3" s="1"/>
  <c r="P111" i="3"/>
  <c r="O138" i="3"/>
  <c r="P138" i="3" s="1"/>
  <c r="P169" i="3"/>
  <c r="O200" i="3"/>
  <c r="P200" i="3" s="1"/>
  <c r="N279" i="3"/>
  <c r="P279" i="3" s="1"/>
  <c r="N306" i="3"/>
  <c r="P306" i="3" s="1"/>
  <c r="N338" i="3"/>
  <c r="O341" i="3"/>
  <c r="O354" i="3"/>
  <c r="N368" i="3"/>
  <c r="P368" i="3" s="1"/>
  <c r="O375" i="3"/>
  <c r="N378" i="3"/>
  <c r="P378" i="3" s="1"/>
  <c r="N392" i="3"/>
  <c r="P392" i="3" s="1"/>
  <c r="N409" i="3"/>
  <c r="P409" i="3" s="1"/>
  <c r="N417" i="3"/>
  <c r="P417" i="3" s="1"/>
  <c r="P463" i="3"/>
  <c r="O476" i="3"/>
  <c r="P494" i="3"/>
  <c r="P271" i="3"/>
  <c r="P370" i="3"/>
  <c r="P475" i="3"/>
  <c r="P20" i="3"/>
  <c r="O6" i="3"/>
  <c r="N13" i="3"/>
  <c r="P13" i="3" s="1"/>
  <c r="O27" i="3"/>
  <c r="O37" i="3"/>
  <c r="O44" i="3"/>
  <c r="N65" i="3"/>
  <c r="P65" i="3" s="1"/>
  <c r="N76" i="3"/>
  <c r="P76" i="3" s="1"/>
  <c r="N89" i="3"/>
  <c r="P89" i="3" s="1"/>
  <c r="N98" i="3"/>
  <c r="P98" i="3" s="1"/>
  <c r="N115" i="3"/>
  <c r="P115" i="3" s="1"/>
  <c r="N122" i="3"/>
  <c r="P122" i="3" s="1"/>
  <c r="P162" i="3"/>
  <c r="P180" i="3"/>
  <c r="P190" i="3"/>
  <c r="P241" i="3"/>
  <c r="P252" i="3"/>
  <c r="O259" i="3"/>
  <c r="P259" i="3" s="1"/>
  <c r="P291" i="3"/>
  <c r="N300" i="3"/>
  <c r="P300" i="3" s="1"/>
  <c r="O303" i="3"/>
  <c r="P314" i="3"/>
  <c r="N327" i="3"/>
  <c r="O338" i="3"/>
  <c r="P351" i="3"/>
  <c r="N403" i="3"/>
  <c r="O406" i="3"/>
  <c r="P406" i="3" s="1"/>
  <c r="N432" i="3"/>
  <c r="P432" i="3" s="1"/>
  <c r="P436" i="3"/>
  <c r="N443" i="3"/>
  <c r="P443" i="3" s="1"/>
  <c r="O453" i="3"/>
  <c r="P453" i="3" s="1"/>
  <c r="N460" i="3"/>
  <c r="P460" i="3" s="1"/>
  <c r="O463" i="3"/>
  <c r="N470" i="3"/>
  <c r="P470" i="3" s="1"/>
  <c r="P473" i="3"/>
  <c r="N487" i="3"/>
  <c r="O494" i="3"/>
  <c r="P518" i="3"/>
  <c r="P254" i="3"/>
  <c r="P34" i="3"/>
  <c r="N41" i="3"/>
  <c r="P41" i="3" s="1"/>
  <c r="P48" i="3"/>
  <c r="P59" i="3"/>
  <c r="P62" i="3"/>
  <c r="P73" i="3"/>
  <c r="P79" i="3"/>
  <c r="N82" i="3"/>
  <c r="P82" i="3" s="1"/>
  <c r="P102" i="3"/>
  <c r="P105" i="3"/>
  <c r="P108" i="3"/>
  <c r="P129" i="3"/>
  <c r="P146" i="3"/>
  <c r="P153" i="3"/>
  <c r="O162" i="3"/>
  <c r="O173" i="3"/>
  <c r="P173" i="3" s="1"/>
  <c r="N177" i="3"/>
  <c r="P177" i="3" s="1"/>
  <c r="N194" i="3"/>
  <c r="P194" i="3" s="1"/>
  <c r="N204" i="3"/>
  <c r="P204" i="3" s="1"/>
  <c r="N207" i="3"/>
  <c r="P207" i="3" s="1"/>
  <c r="O210" i="3"/>
  <c r="P210" i="3" s="1"/>
  <c r="O213" i="3"/>
  <c r="O217" i="3"/>
  <c r="P217" i="3" s="1"/>
  <c r="O220" i="3"/>
  <c r="P220" i="3" s="1"/>
  <c r="O223" i="3"/>
  <c r="N227" i="3"/>
  <c r="P227" i="3" s="1"/>
  <c r="P238" i="3"/>
  <c r="N245" i="3"/>
  <c r="P245" i="3" s="1"/>
  <c r="N266" i="3"/>
  <c r="P266" i="3" s="1"/>
  <c r="N283" i="3"/>
  <c r="P283" i="3" s="1"/>
  <c r="N287" i="3"/>
  <c r="P287" i="3" s="1"/>
  <c r="N296" i="3"/>
  <c r="P296" i="3" s="1"/>
  <c r="O300" i="3"/>
  <c r="O327" i="3"/>
  <c r="N345" i="3"/>
  <c r="P345" i="3" s="1"/>
  <c r="N348" i="3"/>
  <c r="P348" i="3" s="1"/>
  <c r="O361" i="3"/>
  <c r="P361" i="3" s="1"/>
  <c r="N372" i="3"/>
  <c r="P372" i="3" s="1"/>
  <c r="N400" i="3"/>
  <c r="P400" i="3" s="1"/>
  <c r="O403" i="3"/>
  <c r="N425" i="3"/>
  <c r="P425" i="3" s="1"/>
  <c r="P450" i="3"/>
  <c r="P477" i="3"/>
  <c r="N480" i="3"/>
  <c r="P480" i="3" s="1"/>
  <c r="P484" i="3"/>
  <c r="O487" i="3"/>
  <c r="N491" i="3"/>
  <c r="P491" i="3" s="1"/>
  <c r="N502" i="3"/>
  <c r="P502" i="3" s="1"/>
  <c r="N506" i="3"/>
  <c r="P506" i="3" s="1"/>
  <c r="N510" i="3"/>
  <c r="P510" i="3" s="1"/>
  <c r="P96" i="3"/>
  <c r="O132" i="3"/>
  <c r="P132" i="3" s="1"/>
  <c r="N139" i="3"/>
  <c r="P139" i="3" s="1"/>
  <c r="N150" i="3"/>
  <c r="P150" i="3" s="1"/>
  <c r="P166" i="3"/>
  <c r="P187" i="3"/>
  <c r="P198" i="3"/>
  <c r="P201" i="3"/>
  <c r="P231" i="3"/>
  <c r="O238" i="3"/>
  <c r="P249" i="3"/>
  <c r="P263" i="3"/>
  <c r="P270" i="3"/>
  <c r="P273" i="3"/>
  <c r="O276" i="3"/>
  <c r="N280" i="3"/>
  <c r="P280" i="3" s="1"/>
  <c r="P369" i="3"/>
  <c r="P46" i="3"/>
  <c r="P202" i="3"/>
  <c r="P25" i="3"/>
  <c r="P28" i="3"/>
  <c r="P38" i="3"/>
  <c r="P90" i="3"/>
  <c r="O96" i="3"/>
  <c r="N160" i="3"/>
  <c r="O184" i="3"/>
  <c r="P184" i="3" s="1"/>
  <c r="N304" i="3"/>
  <c r="P304" i="3" s="1"/>
  <c r="P339" i="3"/>
  <c r="P352" i="3"/>
  <c r="P366" i="3"/>
  <c r="N379" i="3"/>
  <c r="P379" i="3" s="1"/>
  <c r="N383" i="3"/>
  <c r="P383" i="3" s="1"/>
  <c r="N397" i="3"/>
  <c r="P397" i="3" s="1"/>
  <c r="O429" i="3"/>
  <c r="P429" i="3" s="1"/>
  <c r="N437" i="3"/>
  <c r="O447" i="3"/>
  <c r="P447" i="3" s="1"/>
  <c r="N454" i="3"/>
  <c r="N464" i="3"/>
  <c r="N474" i="3"/>
  <c r="P474" i="3" s="1"/>
  <c r="N495" i="3"/>
  <c r="P495" i="3" s="1"/>
  <c r="N515" i="3"/>
  <c r="P515" i="3" s="1"/>
  <c r="N519" i="3"/>
  <c r="P519" i="3" s="1"/>
  <c r="P14" i="3"/>
  <c r="O7" i="3"/>
  <c r="O14" i="3"/>
  <c r="O18" i="3"/>
  <c r="O25" i="3"/>
  <c r="O28" i="3"/>
  <c r="O38" i="3"/>
  <c r="P42" i="3"/>
  <c r="O45" i="3"/>
  <c r="N77" i="3"/>
  <c r="P77" i="3" s="1"/>
  <c r="P83" i="3"/>
  <c r="O90" i="3"/>
  <c r="N99" i="3"/>
  <c r="P99" i="3" s="1"/>
  <c r="P116" i="3"/>
  <c r="P123" i="3"/>
  <c r="O136" i="3"/>
  <c r="P136" i="3" s="1"/>
  <c r="P143" i="3"/>
  <c r="P147" i="3"/>
  <c r="N154" i="3"/>
  <c r="P154" i="3" s="1"/>
  <c r="O157" i="3"/>
  <c r="P157" i="3" s="1"/>
  <c r="O160" i="3"/>
  <c r="P163" i="3"/>
  <c r="P174" i="3"/>
  <c r="N178" i="3"/>
  <c r="P178" i="3" s="1"/>
  <c r="P191" i="3"/>
  <c r="P195" i="3"/>
  <c r="N211" i="3"/>
  <c r="N218" i="3"/>
  <c r="O224" i="3"/>
  <c r="P224" i="3" s="1"/>
  <c r="P228" i="3"/>
  <c r="N246" i="3"/>
  <c r="P246" i="3" s="1"/>
  <c r="P257" i="3"/>
  <c r="O260" i="3"/>
  <c r="P260" i="3" s="1"/>
  <c r="N277" i="3"/>
  <c r="P277" i="3" s="1"/>
  <c r="P284" i="3"/>
  <c r="P288" i="3"/>
  <c r="P301" i="3"/>
  <c r="P328" i="3"/>
  <c r="P336" i="3"/>
  <c r="O339" i="3"/>
  <c r="O352" i="3"/>
  <c r="N359" i="3"/>
  <c r="P359" i="3" s="1"/>
  <c r="P362" i="3"/>
  <c r="O366" i="3"/>
  <c r="P373" i="3"/>
  <c r="N387" i="3"/>
  <c r="P387" i="3" s="1"/>
  <c r="P390" i="3"/>
  <c r="N401" i="3"/>
  <c r="P401" i="3" s="1"/>
  <c r="N404" i="3"/>
  <c r="P404" i="3" s="1"/>
  <c r="O407" i="3"/>
  <c r="P407" i="3" s="1"/>
  <c r="P418" i="3"/>
  <c r="P426" i="3"/>
  <c r="P433" i="3"/>
  <c r="O437" i="3"/>
  <c r="N444" i="3"/>
  <c r="P444" i="3" s="1"/>
  <c r="O454" i="3"/>
  <c r="O464" i="3"/>
  <c r="N471" i="3"/>
  <c r="P471" i="3" s="1"/>
  <c r="N481" i="3"/>
  <c r="P481" i="3" s="1"/>
  <c r="N488" i="3"/>
  <c r="P488" i="3" s="1"/>
  <c r="N492" i="3"/>
  <c r="P492" i="3" s="1"/>
  <c r="O495" i="3"/>
  <c r="N499" i="3"/>
  <c r="P499" i="3" s="1"/>
  <c r="N503" i="3"/>
  <c r="P503" i="3" s="1"/>
  <c r="N507" i="3"/>
  <c r="P507" i="3" s="1"/>
  <c r="N511" i="3"/>
  <c r="P511" i="3" s="1"/>
  <c r="O519" i="3"/>
  <c r="P316" i="3"/>
  <c r="P7" i="3"/>
  <c r="P18" i="3"/>
  <c r="N11" i="3"/>
  <c r="P11" i="3" s="1"/>
  <c r="N35" i="3"/>
  <c r="P35" i="3" s="1"/>
  <c r="N49" i="3"/>
  <c r="P49" i="3" s="1"/>
  <c r="N60" i="3"/>
  <c r="P60" i="3" s="1"/>
  <c r="N63" i="3"/>
  <c r="P63" i="3" s="1"/>
  <c r="N71" i="3"/>
  <c r="P71" i="3" s="1"/>
  <c r="N74" i="3"/>
  <c r="P74" i="3" s="1"/>
  <c r="O77" i="3"/>
  <c r="N80" i="3"/>
  <c r="P80" i="3" s="1"/>
  <c r="P103" i="3"/>
  <c r="N106" i="3"/>
  <c r="P106" i="3" s="1"/>
  <c r="N109" i="3"/>
  <c r="P109" i="3" s="1"/>
  <c r="N113" i="3"/>
  <c r="P113" i="3" s="1"/>
  <c r="N120" i="3"/>
  <c r="P120" i="3" s="1"/>
  <c r="N130" i="3"/>
  <c r="P130" i="3" s="1"/>
  <c r="N133" i="3"/>
  <c r="P133" i="3" s="1"/>
  <c r="N140" i="3"/>
  <c r="P140" i="3" s="1"/>
  <c r="P151" i="3"/>
  <c r="O154" i="3"/>
  <c r="P205" i="3"/>
  <c r="O211" i="3"/>
  <c r="O218" i="3"/>
  <c r="O221" i="3"/>
  <c r="N267" i="3"/>
  <c r="P267" i="3" s="1"/>
  <c r="P281" i="3"/>
  <c r="N312" i="3"/>
  <c r="P312" i="3" s="1"/>
  <c r="P325" i="3"/>
  <c r="P346" i="3"/>
  <c r="N349" i="3"/>
  <c r="P349" i="3" s="1"/>
  <c r="P356" i="3"/>
  <c r="O376" i="3"/>
  <c r="P394" i="3"/>
  <c r="N411" i="3"/>
  <c r="P411" i="3" s="1"/>
  <c r="N415" i="3"/>
  <c r="P415" i="3" s="1"/>
  <c r="P441" i="3"/>
  <c r="N451" i="3"/>
  <c r="P451" i="3" s="1"/>
  <c r="N458" i="3"/>
  <c r="P458" i="3" s="1"/>
  <c r="O461" i="3"/>
  <c r="P468" i="3"/>
  <c r="P478" i="3"/>
  <c r="P485" i="3"/>
  <c r="H8" i="3"/>
  <c r="N8" i="3" s="1"/>
  <c r="P8" i="3" s="1"/>
  <c r="H17" i="3"/>
  <c r="N17" i="3" s="1"/>
  <c r="P17" i="3" s="1"/>
  <c r="H24" i="3"/>
  <c r="N24" i="3" s="1"/>
  <c r="P24" i="3" s="1"/>
  <c r="H45" i="3"/>
  <c r="N45" i="3" s="1"/>
  <c r="H50" i="3"/>
  <c r="N50" i="3" s="1"/>
  <c r="P50" i="3" s="1"/>
  <c r="H52" i="3"/>
  <c r="N52" i="3" s="1"/>
  <c r="P52" i="3" s="1"/>
  <c r="H53" i="3"/>
  <c r="N53" i="3" s="1"/>
  <c r="P53" i="3" s="1"/>
  <c r="H57" i="3"/>
  <c r="N57" i="3" s="1"/>
  <c r="P57" i="3" s="1"/>
  <c r="H67" i="3"/>
  <c r="N67" i="3" s="1"/>
  <c r="P67" i="3" s="1"/>
  <c r="H101" i="3"/>
  <c r="N101" i="3" s="1"/>
  <c r="P101" i="3" s="1"/>
  <c r="H161" i="3"/>
  <c r="N161" i="3" s="1"/>
  <c r="P161" i="3" s="1"/>
  <c r="H167" i="3"/>
  <c r="N167" i="3" s="1"/>
  <c r="P167" i="3" s="1"/>
  <c r="H168" i="3"/>
  <c r="N168" i="3" s="1"/>
  <c r="P168" i="3" s="1"/>
  <c r="H186" i="3"/>
  <c r="N186" i="3" s="1"/>
  <c r="P186" i="3" s="1"/>
  <c r="H208" i="3"/>
  <c r="N208" i="3" s="1"/>
  <c r="P208" i="3" s="1"/>
  <c r="H213" i="3"/>
  <c r="N213" i="3" s="1"/>
  <c r="P213" i="3" s="1"/>
  <c r="H215" i="3"/>
  <c r="N215" i="3" s="1"/>
  <c r="P215" i="3" s="1"/>
  <c r="H219" i="3"/>
  <c r="N219" i="3" s="1"/>
  <c r="P219" i="3" s="1"/>
  <c r="H221" i="3"/>
  <c r="N221" i="3" s="1"/>
  <c r="P221" i="3" s="1"/>
  <c r="H223" i="3"/>
  <c r="N223" i="3" s="1"/>
  <c r="H225" i="3"/>
  <c r="N225" i="3" s="1"/>
  <c r="P225" i="3" s="1"/>
  <c r="H229" i="3"/>
  <c r="N229" i="3" s="1"/>
  <c r="P229" i="3" s="1"/>
  <c r="H234" i="3"/>
  <c r="N234" i="3" s="1"/>
  <c r="P234" i="3" s="1"/>
  <c r="H235" i="3"/>
  <c r="N235" i="3" s="1"/>
  <c r="P235" i="3" s="1"/>
  <c r="H239" i="3"/>
  <c r="N239" i="3" s="1"/>
  <c r="H256" i="3"/>
  <c r="N256" i="3" s="1"/>
  <c r="P256" i="3" s="1"/>
  <c r="H262" i="3"/>
  <c r="N262" i="3" s="1"/>
  <c r="P262" i="3" s="1"/>
  <c r="H276" i="3"/>
  <c r="N276" i="3" s="1"/>
  <c r="P276" i="3" s="1"/>
  <c r="H289" i="3"/>
  <c r="N289" i="3" s="1"/>
  <c r="P289" i="3" s="1"/>
  <c r="H293" i="3"/>
  <c r="N293" i="3" s="1"/>
  <c r="P293" i="3" s="1"/>
  <c r="H295" i="3"/>
  <c r="N295" i="3" s="1"/>
  <c r="P295" i="3" s="1"/>
  <c r="H297" i="3"/>
  <c r="N297" i="3" s="1"/>
  <c r="P297" i="3" s="1"/>
  <c r="H299" i="3"/>
  <c r="N299" i="3" s="1"/>
  <c r="P299" i="3" s="1"/>
  <c r="H303" i="3"/>
  <c r="N303" i="3" s="1"/>
  <c r="H308" i="3"/>
  <c r="N308" i="3" s="1"/>
  <c r="P308" i="3" s="1"/>
  <c r="H310" i="3"/>
  <c r="N310" i="3" s="1"/>
  <c r="P310" i="3" s="1"/>
  <c r="H311" i="3"/>
  <c r="N311" i="3" s="1"/>
  <c r="P311" i="3" s="1"/>
  <c r="H331" i="3"/>
  <c r="N331" i="3" s="1"/>
  <c r="P331" i="3" s="1"/>
  <c r="H335" i="3"/>
  <c r="N335" i="3" s="1"/>
  <c r="P335" i="3" s="1"/>
  <c r="H340" i="3"/>
  <c r="N340" i="3" s="1"/>
  <c r="P340" i="3" s="1"/>
  <c r="H358" i="3"/>
  <c r="N358" i="3" s="1"/>
  <c r="P358" i="3" s="1"/>
  <c r="H364" i="3"/>
  <c r="N364" i="3" s="1"/>
  <c r="P364" i="3" s="1"/>
  <c r="H376" i="3"/>
  <c r="N376" i="3" s="1"/>
  <c r="P376" i="3" s="1"/>
  <c r="H405" i="3"/>
  <c r="N405" i="3" s="1"/>
  <c r="P405" i="3" s="1"/>
  <c r="H413" i="3"/>
  <c r="N413" i="3" s="1"/>
  <c r="P413" i="3" s="1"/>
  <c r="H422" i="3"/>
  <c r="N422" i="3" s="1"/>
  <c r="P422" i="3" s="1"/>
  <c r="H430" i="3"/>
  <c r="N430" i="3" s="1"/>
  <c r="P430" i="3" s="1"/>
  <c r="H435" i="3"/>
  <c r="N435" i="3" s="1"/>
  <c r="P435" i="3" s="1"/>
  <c r="H445" i="3"/>
  <c r="N445" i="3" s="1"/>
  <c r="P445" i="3" s="1"/>
  <c r="H456" i="3"/>
  <c r="N456" i="3" s="1"/>
  <c r="P456" i="3" s="1"/>
  <c r="H461" i="3"/>
  <c r="N461" i="3" s="1"/>
  <c r="P461" i="3" s="1"/>
  <c r="H476" i="3"/>
  <c r="N476" i="3" s="1"/>
  <c r="P476" i="3" s="1"/>
  <c r="H483" i="3"/>
  <c r="N483" i="3" s="1"/>
  <c r="P483" i="3" s="1"/>
  <c r="H498" i="3"/>
  <c r="N498" i="3" s="1"/>
  <c r="P498" i="3" s="1"/>
  <c r="H514" i="3"/>
  <c r="N514" i="3" s="1"/>
  <c r="P514" i="3" s="1"/>
  <c r="M216" i="2"/>
  <c r="J216" i="2"/>
  <c r="M215" i="2"/>
  <c r="J215" i="2"/>
  <c r="O210" i="2"/>
  <c r="K210" i="2"/>
  <c r="H210" i="2"/>
  <c r="M209" i="2"/>
  <c r="K209" i="2"/>
  <c r="G209" i="2" s="1"/>
  <c r="J209" i="2"/>
  <c r="M205" i="2"/>
  <c r="K205" i="2"/>
  <c r="J205" i="2"/>
  <c r="H205" i="2"/>
  <c r="M206" i="2"/>
  <c r="K206" i="2"/>
  <c r="J206" i="2"/>
  <c r="H206" i="2"/>
  <c r="M204" i="2"/>
  <c r="J204" i="2"/>
  <c r="E204" i="2"/>
  <c r="M203" i="2"/>
  <c r="J203" i="2"/>
  <c r="M202" i="2"/>
  <c r="K202" i="2"/>
  <c r="J202" i="2"/>
  <c r="H202" i="2"/>
  <c r="M201" i="2"/>
  <c r="K201" i="2"/>
  <c r="J201" i="2"/>
  <c r="H201" i="2"/>
  <c r="M200" i="2"/>
  <c r="K200" i="2"/>
  <c r="J200" i="2"/>
  <c r="H200" i="2"/>
  <c r="M199" i="2"/>
  <c r="J199" i="2"/>
  <c r="K195" i="2"/>
  <c r="J195" i="2"/>
  <c r="O195" i="2" s="1"/>
  <c r="H195" i="2"/>
  <c r="K196" i="2"/>
  <c r="J196" i="2"/>
  <c r="O196" i="2" s="1"/>
  <c r="H196" i="2"/>
  <c r="K194" i="2"/>
  <c r="J194" i="2"/>
  <c r="O194" i="2" s="1"/>
  <c r="H194" i="2"/>
  <c r="K197" i="2"/>
  <c r="J197" i="2"/>
  <c r="O197" i="2" s="1"/>
  <c r="H197" i="2"/>
  <c r="M94" i="2"/>
  <c r="J94" i="2"/>
  <c r="M93" i="2"/>
  <c r="J93" i="2"/>
  <c r="K188" i="2"/>
  <c r="J188" i="2"/>
  <c r="O188" i="2" s="1"/>
  <c r="H188" i="2"/>
  <c r="M189" i="2"/>
  <c r="K189" i="2"/>
  <c r="J189" i="2"/>
  <c r="H189" i="2"/>
  <c r="M190" i="2"/>
  <c r="K190" i="2"/>
  <c r="J190" i="2"/>
  <c r="H190" i="2"/>
  <c r="M191" i="2"/>
  <c r="K191" i="2"/>
  <c r="J191" i="2"/>
  <c r="J187" i="2"/>
  <c r="O187" i="2" s="1"/>
  <c r="J186" i="2"/>
  <c r="O186" i="2" s="1"/>
  <c r="K185" i="2"/>
  <c r="J185" i="2"/>
  <c r="O185" i="2" s="1"/>
  <c r="H185" i="2"/>
  <c r="K184" i="2"/>
  <c r="J184" i="2"/>
  <c r="O184" i="2" s="1"/>
  <c r="H184" i="2"/>
  <c r="M107" i="2"/>
  <c r="J107" i="2"/>
  <c r="F107" i="2"/>
  <c r="K107" i="2" s="1"/>
  <c r="M108" i="2"/>
  <c r="K108" i="2"/>
  <c r="J108" i="2"/>
  <c r="H108" i="2"/>
  <c r="M179" i="2"/>
  <c r="J179" i="2"/>
  <c r="J178" i="2"/>
  <c r="O178" i="2" s="1"/>
  <c r="M176" i="2"/>
  <c r="J176" i="2"/>
  <c r="M175" i="2"/>
  <c r="J175" i="2"/>
  <c r="K174" i="2"/>
  <c r="J174" i="2"/>
  <c r="O174" i="2" s="1"/>
  <c r="H174" i="2"/>
  <c r="K177" i="2"/>
  <c r="J177" i="2"/>
  <c r="O177" i="2" s="1"/>
  <c r="H177" i="2"/>
  <c r="K173" i="2"/>
  <c r="J173" i="2"/>
  <c r="O173" i="2" s="1"/>
  <c r="H173" i="2"/>
  <c r="M169" i="2"/>
  <c r="K169" i="2"/>
  <c r="J169" i="2"/>
  <c r="H169" i="2"/>
  <c r="M170" i="2"/>
  <c r="K170" i="2"/>
  <c r="J170" i="2"/>
  <c r="H170" i="2"/>
  <c r="M166" i="2"/>
  <c r="O166" i="2" s="1"/>
  <c r="K166" i="2"/>
  <c r="H166" i="2"/>
  <c r="M167" i="2"/>
  <c r="J167" i="2"/>
  <c r="M165" i="2"/>
  <c r="K165" i="2"/>
  <c r="J165" i="2"/>
  <c r="H165" i="2"/>
  <c r="J168" i="2"/>
  <c r="O168" i="2" s="1"/>
  <c r="J146" i="2"/>
  <c r="O146" i="2" s="1"/>
  <c r="J145" i="2"/>
  <c r="O145" i="2" s="1"/>
  <c r="J160" i="2"/>
  <c r="O160" i="2" s="1"/>
  <c r="P160" i="2" s="1"/>
  <c r="J159" i="2"/>
  <c r="O159" i="2" s="1"/>
  <c r="P159" i="2" s="1"/>
  <c r="K158" i="2"/>
  <c r="J158" i="2"/>
  <c r="O158" i="2" s="1"/>
  <c r="H158" i="2"/>
  <c r="J157" i="2"/>
  <c r="O157" i="2" s="1"/>
  <c r="F157" i="2"/>
  <c r="K157" i="2" s="1"/>
  <c r="M155" i="2"/>
  <c r="J155" i="2"/>
  <c r="M156" i="2"/>
  <c r="J156" i="2"/>
  <c r="J154" i="2"/>
  <c r="O154" i="2" s="1"/>
  <c r="F154" i="2"/>
  <c r="K154" i="2" s="1"/>
  <c r="E154" i="2"/>
  <c r="M84" i="2"/>
  <c r="K84" i="2"/>
  <c r="J84" i="2"/>
  <c r="H84" i="2"/>
  <c r="M83" i="2"/>
  <c r="K83" i="2"/>
  <c r="J83" i="2"/>
  <c r="H83" i="2"/>
  <c r="M82" i="2"/>
  <c r="K82" i="2"/>
  <c r="J82" i="2"/>
  <c r="H82" i="2"/>
  <c r="M150" i="2"/>
  <c r="K150" i="2"/>
  <c r="J150" i="2"/>
  <c r="H150" i="2"/>
  <c r="M151" i="2"/>
  <c r="K151" i="2"/>
  <c r="J151" i="2"/>
  <c r="H151" i="2"/>
  <c r="M149" i="2"/>
  <c r="J149" i="2"/>
  <c r="M148" i="2"/>
  <c r="J148" i="2"/>
  <c r="M147" i="2"/>
  <c r="K147" i="2"/>
  <c r="J147" i="2"/>
  <c r="H147" i="2"/>
  <c r="M144" i="2"/>
  <c r="K144" i="2"/>
  <c r="J144" i="2"/>
  <c r="H144" i="2"/>
  <c r="K143" i="2"/>
  <c r="J143" i="2"/>
  <c r="O143" i="2" s="1"/>
  <c r="H143" i="2"/>
  <c r="J138" i="2"/>
  <c r="O138" i="2" s="1"/>
  <c r="J137" i="2"/>
  <c r="O137" i="2" s="1"/>
  <c r="K136" i="2"/>
  <c r="J136" i="2"/>
  <c r="O136" i="2" s="1"/>
  <c r="H136" i="2"/>
  <c r="K135" i="2"/>
  <c r="J135" i="2"/>
  <c r="O135" i="2" s="1"/>
  <c r="H135" i="2"/>
  <c r="M128" i="2"/>
  <c r="K128" i="2"/>
  <c r="J128" i="2"/>
  <c r="H128" i="2"/>
  <c r="M127" i="2"/>
  <c r="J127" i="2"/>
  <c r="F127" i="2"/>
  <c r="K127" i="2" s="1"/>
  <c r="M129" i="2"/>
  <c r="J129" i="2"/>
  <c r="M130" i="2"/>
  <c r="J130" i="2"/>
  <c r="M124" i="2"/>
  <c r="K124" i="2"/>
  <c r="J124" i="2"/>
  <c r="H124" i="2"/>
  <c r="M123" i="2"/>
  <c r="K123" i="2"/>
  <c r="J123" i="2"/>
  <c r="H123" i="2"/>
  <c r="M122" i="2"/>
  <c r="J122" i="2"/>
  <c r="E122" i="2"/>
  <c r="M121" i="2"/>
  <c r="J121" i="2"/>
  <c r="E121" i="2"/>
  <c r="J115" i="2"/>
  <c r="O115" i="2" s="1"/>
  <c r="F115" i="2"/>
  <c r="K115" i="2" s="1"/>
  <c r="M116" i="2"/>
  <c r="K116" i="2"/>
  <c r="J116" i="2"/>
  <c r="H116" i="2"/>
  <c r="K112" i="2"/>
  <c r="J112" i="2"/>
  <c r="O112" i="2" s="1"/>
  <c r="H112" i="2"/>
  <c r="M114" i="2"/>
  <c r="J114" i="2"/>
  <c r="K111" i="2"/>
  <c r="J111" i="2"/>
  <c r="O111" i="2" s="1"/>
  <c r="H111" i="2"/>
  <c r="M109" i="2"/>
  <c r="J109" i="2"/>
  <c r="M110" i="2"/>
  <c r="J110" i="2"/>
  <c r="M106" i="2"/>
  <c r="J106" i="2"/>
  <c r="M105" i="2"/>
  <c r="J105" i="2"/>
  <c r="K104" i="2"/>
  <c r="J104" i="2"/>
  <c r="O104" i="2" s="1"/>
  <c r="H104" i="2"/>
  <c r="K103" i="2"/>
  <c r="J103" i="2"/>
  <c r="O103" i="2" s="1"/>
  <c r="H103" i="2"/>
  <c r="O96" i="2"/>
  <c r="K96" i="2"/>
  <c r="H96" i="2"/>
  <c r="K95" i="2"/>
  <c r="J95" i="2"/>
  <c r="O95" i="2" s="1"/>
  <c r="H95" i="2"/>
  <c r="J98" i="2"/>
  <c r="O98" i="2" s="1"/>
  <c r="J97" i="2"/>
  <c r="O97" i="2" s="1"/>
  <c r="J92" i="2"/>
  <c r="O92" i="2" s="1"/>
  <c r="F92" i="2"/>
  <c r="K92" i="2" s="1"/>
  <c r="M91" i="2"/>
  <c r="K91" i="2"/>
  <c r="J91" i="2"/>
  <c r="H91" i="2"/>
  <c r="M90" i="2"/>
  <c r="J90" i="2"/>
  <c r="M89" i="2"/>
  <c r="J89" i="2"/>
  <c r="M88" i="2"/>
  <c r="K88" i="2"/>
  <c r="J88" i="2"/>
  <c r="H88" i="2"/>
  <c r="M87" i="2"/>
  <c r="O87" i="2" s="1"/>
  <c r="K87" i="2"/>
  <c r="H87" i="2"/>
  <c r="J85" i="2"/>
  <c r="O85" i="2" s="1"/>
  <c r="F85" i="2"/>
  <c r="K85" i="2" s="1"/>
  <c r="K81" i="2"/>
  <c r="J81" i="2"/>
  <c r="O81" i="2" s="1"/>
  <c r="H81" i="2"/>
  <c r="O80" i="2"/>
  <c r="K80" i="2"/>
  <c r="H80" i="2"/>
  <c r="O79" i="2"/>
  <c r="K79" i="2"/>
  <c r="H79" i="2"/>
  <c r="M73" i="2"/>
  <c r="J73" i="2"/>
  <c r="M72" i="2"/>
  <c r="K72" i="2"/>
  <c r="J72" i="2"/>
  <c r="H72" i="2"/>
  <c r="M71" i="2"/>
  <c r="K71" i="2"/>
  <c r="J71" i="2"/>
  <c r="H71" i="2"/>
  <c r="M70" i="2"/>
  <c r="K70" i="2"/>
  <c r="J70" i="2"/>
  <c r="H70" i="2"/>
  <c r="M69" i="2"/>
  <c r="K69" i="2"/>
  <c r="J69" i="2"/>
  <c r="H69" i="2"/>
  <c r="O62" i="2"/>
  <c r="K62" i="2"/>
  <c r="H62" i="2"/>
  <c r="O61" i="2"/>
  <c r="K61" i="2"/>
  <c r="H61" i="2"/>
  <c r="M60" i="2"/>
  <c r="O60" i="2" s="1"/>
  <c r="K60" i="2"/>
  <c r="H60" i="2"/>
  <c r="M59" i="2"/>
  <c r="O59" i="2" s="1"/>
  <c r="K59" i="2"/>
  <c r="H59" i="2"/>
  <c r="M52" i="2"/>
  <c r="J52" i="2"/>
  <c r="O51" i="2"/>
  <c r="K51" i="2"/>
  <c r="H51" i="2"/>
  <c r="M50" i="2"/>
  <c r="K50" i="2"/>
  <c r="J50" i="2"/>
  <c r="H50" i="2"/>
  <c r="M49" i="2"/>
  <c r="O49" i="2" s="1"/>
  <c r="K49" i="2"/>
  <c r="H49" i="2"/>
  <c r="M48" i="2"/>
  <c r="O48" i="2" s="1"/>
  <c r="K48" i="2"/>
  <c r="H48" i="2"/>
  <c r="M47" i="2"/>
  <c r="J47" i="2"/>
  <c r="M46" i="2"/>
  <c r="J46" i="2"/>
  <c r="M45" i="2"/>
  <c r="K45" i="2"/>
  <c r="J45" i="2"/>
  <c r="H45" i="2"/>
  <c r="M44" i="2"/>
  <c r="K44" i="2"/>
  <c r="J44" i="2"/>
  <c r="H44" i="2"/>
  <c r="O43" i="2"/>
  <c r="K43" i="2"/>
  <c r="H43" i="2"/>
  <c r="O42" i="2"/>
  <c r="K42" i="2"/>
  <c r="H42" i="2"/>
  <c r="M41" i="2"/>
  <c r="J41" i="2"/>
  <c r="M40" i="2"/>
  <c r="J40" i="2"/>
  <c r="M39" i="2"/>
  <c r="K39" i="2"/>
  <c r="J39" i="2"/>
  <c r="H39" i="2"/>
  <c r="O38" i="2"/>
  <c r="K38" i="2"/>
  <c r="H38" i="2"/>
  <c r="M37" i="2"/>
  <c r="K37" i="2"/>
  <c r="J37" i="2"/>
  <c r="H37" i="2"/>
  <c r="O36" i="2"/>
  <c r="K36" i="2"/>
  <c r="H36" i="2"/>
  <c r="K29" i="2"/>
  <c r="J29" i="2"/>
  <c r="O29" i="2" s="1"/>
  <c r="H29" i="2"/>
  <c r="E29" i="2"/>
  <c r="K28" i="2"/>
  <c r="J28" i="2"/>
  <c r="O28" i="2" s="1"/>
  <c r="H28" i="2"/>
  <c r="E28" i="2"/>
  <c r="K27" i="2"/>
  <c r="J27" i="2"/>
  <c r="O27" i="2" s="1"/>
  <c r="H27" i="2"/>
  <c r="K26" i="2"/>
  <c r="J26" i="2"/>
  <c r="O26" i="2" s="1"/>
  <c r="H26" i="2"/>
  <c r="O25" i="2"/>
  <c r="K25" i="2"/>
  <c r="H25" i="2"/>
  <c r="O24" i="2"/>
  <c r="F24" i="2"/>
  <c r="K24" i="2" s="1"/>
  <c r="M10" i="2"/>
  <c r="E10" i="2"/>
  <c r="M9" i="2"/>
  <c r="J9" i="2"/>
  <c r="E9" i="2"/>
  <c r="M8" i="2"/>
  <c r="K8" i="2"/>
  <c r="J8" i="2"/>
  <c r="H8" i="2"/>
  <c r="E8" i="2"/>
  <c r="M7" i="2"/>
  <c r="K7" i="2"/>
  <c r="J7" i="2"/>
  <c r="H7" i="2"/>
  <c r="E7" i="2"/>
  <c r="O6" i="2"/>
  <c r="K6" i="2"/>
  <c r="H6" i="2"/>
  <c r="E6" i="2"/>
  <c r="O5" i="2"/>
  <c r="K5" i="2"/>
  <c r="H5" i="2"/>
  <c r="E5" i="2"/>
  <c r="P723" i="1"/>
  <c r="L723" i="1"/>
  <c r="I723" i="1"/>
  <c r="P722" i="1"/>
  <c r="L722" i="1"/>
  <c r="I722" i="1"/>
  <c r="N719" i="1"/>
  <c r="L719" i="1"/>
  <c r="K719" i="1"/>
  <c r="I719" i="1"/>
  <c r="P691" i="1"/>
  <c r="L691" i="1"/>
  <c r="I691" i="1"/>
  <c r="P699" i="1"/>
  <c r="L699" i="1"/>
  <c r="I699" i="1"/>
  <c r="P715" i="1"/>
  <c r="L715" i="1"/>
  <c r="I715" i="1"/>
  <c r="P703" i="1"/>
  <c r="L703" i="1"/>
  <c r="I703" i="1"/>
  <c r="P687" i="1"/>
  <c r="L687" i="1"/>
  <c r="I687" i="1"/>
  <c r="P683" i="1"/>
  <c r="L683" i="1"/>
  <c r="I683" i="1"/>
  <c r="P695" i="1"/>
  <c r="L695" i="1"/>
  <c r="I695" i="1"/>
  <c r="P706" i="1"/>
  <c r="H706" i="1"/>
  <c r="L706" i="1" s="1"/>
  <c r="P705" i="1"/>
  <c r="L705" i="1"/>
  <c r="I705" i="1"/>
  <c r="P716" i="1"/>
  <c r="L716" i="1"/>
  <c r="I716" i="1"/>
  <c r="P708" i="1"/>
  <c r="L708" i="1"/>
  <c r="I708" i="1"/>
  <c r="P707" i="1"/>
  <c r="L707" i="1"/>
  <c r="I707" i="1"/>
  <c r="P700" i="1"/>
  <c r="L700" i="1"/>
  <c r="I700" i="1"/>
  <c r="P704" i="1"/>
  <c r="L704" i="1"/>
  <c r="I704" i="1"/>
  <c r="P696" i="1"/>
  <c r="L696" i="1"/>
  <c r="I696" i="1"/>
  <c r="P692" i="1"/>
  <c r="L692" i="1"/>
  <c r="I692" i="1"/>
  <c r="P688" i="1"/>
  <c r="L688" i="1"/>
  <c r="I688" i="1"/>
  <c r="P684" i="1"/>
  <c r="L684" i="1"/>
  <c r="I684" i="1"/>
  <c r="P679" i="1"/>
  <c r="L679" i="1"/>
  <c r="I679" i="1"/>
  <c r="P678" i="1"/>
  <c r="L678" i="1"/>
  <c r="I678" i="1"/>
  <c r="P677" i="1"/>
  <c r="H677" i="1"/>
  <c r="L677" i="1" s="1"/>
  <c r="N675" i="1"/>
  <c r="L675" i="1"/>
  <c r="K675" i="1"/>
  <c r="I675" i="1"/>
  <c r="P674" i="1"/>
  <c r="L674" i="1"/>
  <c r="I674" i="1"/>
  <c r="N673" i="1"/>
  <c r="L673" i="1"/>
  <c r="K673" i="1"/>
  <c r="I673" i="1"/>
  <c r="N672" i="1"/>
  <c r="L672" i="1"/>
  <c r="K672" i="1"/>
  <c r="I672" i="1"/>
  <c r="P671" i="1"/>
  <c r="L671" i="1"/>
  <c r="I671" i="1"/>
  <c r="N670" i="1"/>
  <c r="L670" i="1"/>
  <c r="K670" i="1"/>
  <c r="I670" i="1"/>
  <c r="P669" i="1"/>
  <c r="L669" i="1"/>
  <c r="I669" i="1"/>
  <c r="P668" i="1"/>
  <c r="L668" i="1"/>
  <c r="I668" i="1"/>
  <c r="P667" i="1"/>
  <c r="L667" i="1"/>
  <c r="I667" i="1"/>
  <c r="P666" i="1"/>
  <c r="L666" i="1"/>
  <c r="I666" i="1"/>
  <c r="N663" i="1"/>
  <c r="K663" i="1"/>
  <c r="I663" i="1"/>
  <c r="P662" i="1"/>
  <c r="L662" i="1"/>
  <c r="I662" i="1"/>
  <c r="N661" i="1"/>
  <c r="L661" i="1"/>
  <c r="K661" i="1"/>
  <c r="I661" i="1"/>
  <c r="N660" i="1"/>
  <c r="L660" i="1"/>
  <c r="K660" i="1"/>
  <c r="I660" i="1"/>
  <c r="N659" i="1"/>
  <c r="P659" i="1" s="1"/>
  <c r="H659" i="1"/>
  <c r="L659" i="1" s="1"/>
  <c r="L658" i="1"/>
  <c r="K658" i="1"/>
  <c r="P658" i="1" s="1"/>
  <c r="I658" i="1"/>
  <c r="N657" i="1"/>
  <c r="L657" i="1"/>
  <c r="K657" i="1"/>
  <c r="I657" i="1"/>
  <c r="P656" i="1"/>
  <c r="L656" i="1"/>
  <c r="I656" i="1"/>
  <c r="N655" i="1"/>
  <c r="L655" i="1"/>
  <c r="K655" i="1"/>
  <c r="I655" i="1"/>
  <c r="N654" i="1"/>
  <c r="L654" i="1"/>
  <c r="K654" i="1"/>
  <c r="I654" i="1"/>
  <c r="N653" i="1"/>
  <c r="L653" i="1"/>
  <c r="K653" i="1"/>
  <c r="I653" i="1"/>
  <c r="N652" i="1"/>
  <c r="K652" i="1"/>
  <c r="H652" i="1"/>
  <c r="L652" i="1" s="1"/>
  <c r="N651" i="1"/>
  <c r="L651" i="1"/>
  <c r="K651" i="1"/>
  <c r="I651" i="1"/>
  <c r="P650" i="1"/>
  <c r="L650" i="1"/>
  <c r="I650" i="1"/>
  <c r="P649" i="1"/>
  <c r="L649" i="1"/>
  <c r="I649" i="1"/>
  <c r="N646" i="1"/>
  <c r="L646" i="1"/>
  <c r="K646" i="1"/>
  <c r="I646" i="1"/>
  <c r="N645" i="1"/>
  <c r="L645" i="1"/>
  <c r="K645" i="1"/>
  <c r="I645" i="1"/>
  <c r="N606" i="1"/>
  <c r="P606" i="1" s="1"/>
  <c r="H606" i="1"/>
  <c r="L606" i="1" s="1"/>
  <c r="N644" i="1"/>
  <c r="L644" i="1"/>
  <c r="K644" i="1"/>
  <c r="I644" i="1"/>
  <c r="P643" i="1"/>
  <c r="L643" i="1"/>
  <c r="I643" i="1"/>
  <c r="N642" i="1"/>
  <c r="L642" i="1"/>
  <c r="K642" i="1"/>
  <c r="I642" i="1"/>
  <c r="N634" i="1"/>
  <c r="L634" i="1"/>
  <c r="K634" i="1"/>
  <c r="I634" i="1"/>
  <c r="P639" i="1"/>
  <c r="L639" i="1"/>
  <c r="I639" i="1"/>
  <c r="N638" i="1"/>
  <c r="L638" i="1"/>
  <c r="K638" i="1"/>
  <c r="I638" i="1"/>
  <c r="P635" i="1"/>
  <c r="L635" i="1"/>
  <c r="I635" i="1"/>
  <c r="N626" i="1"/>
  <c r="L626" i="1"/>
  <c r="K626" i="1"/>
  <c r="I626" i="1"/>
  <c r="N625" i="1"/>
  <c r="K625" i="1"/>
  <c r="H625" i="1"/>
  <c r="L625" i="1" s="1"/>
  <c r="N624" i="1"/>
  <c r="L624" i="1"/>
  <c r="K624" i="1"/>
  <c r="I624" i="1"/>
  <c r="N627" i="1"/>
  <c r="L627" i="1"/>
  <c r="K627" i="1"/>
  <c r="I627" i="1"/>
  <c r="N623" i="1"/>
  <c r="L623" i="1"/>
  <c r="K623" i="1"/>
  <c r="I623" i="1"/>
  <c r="P622" i="1"/>
  <c r="L622" i="1"/>
  <c r="I622" i="1"/>
  <c r="P621" i="1"/>
  <c r="L621" i="1"/>
  <c r="I621" i="1"/>
  <c r="N618" i="1"/>
  <c r="L618" i="1"/>
  <c r="K618" i="1"/>
  <c r="I618" i="1"/>
  <c r="N619" i="1"/>
  <c r="L619" i="1"/>
  <c r="K619" i="1"/>
  <c r="I619" i="1"/>
  <c r="N617" i="1"/>
  <c r="L617" i="1"/>
  <c r="K617" i="1"/>
  <c r="I617" i="1"/>
  <c r="P616" i="1"/>
  <c r="L616" i="1"/>
  <c r="I616" i="1"/>
  <c r="P615" i="1"/>
  <c r="L615" i="1"/>
  <c r="I615" i="1"/>
  <c r="N614" i="1"/>
  <c r="L614" i="1"/>
  <c r="I614" i="1"/>
  <c r="N612" i="1"/>
  <c r="L612" i="1"/>
  <c r="K612" i="1"/>
  <c r="I612" i="1"/>
  <c r="P610" i="1"/>
  <c r="L610" i="1"/>
  <c r="I610" i="1"/>
  <c r="N609" i="1"/>
  <c r="L609" i="1"/>
  <c r="J609" i="1"/>
  <c r="I609" i="1"/>
  <c r="N608" i="1"/>
  <c r="L608" i="1"/>
  <c r="K608" i="1"/>
  <c r="I608" i="1"/>
  <c r="N605" i="1"/>
  <c r="L605" i="1"/>
  <c r="K605" i="1"/>
  <c r="I605" i="1"/>
  <c r="N604" i="1"/>
  <c r="L604" i="1"/>
  <c r="K604" i="1"/>
  <c r="I604" i="1"/>
  <c r="P603" i="1"/>
  <c r="L603" i="1"/>
  <c r="I603" i="1"/>
  <c r="N601" i="1"/>
  <c r="L601" i="1"/>
  <c r="K601" i="1"/>
  <c r="I601" i="1"/>
  <c r="L600" i="1"/>
  <c r="K600" i="1"/>
  <c r="P600" i="1" s="1"/>
  <c r="I600" i="1"/>
  <c r="N599" i="1"/>
  <c r="L599" i="1"/>
  <c r="K599" i="1"/>
  <c r="I599" i="1"/>
  <c r="P598" i="1"/>
  <c r="L598" i="1"/>
  <c r="I598" i="1"/>
  <c r="N597" i="1"/>
  <c r="L597" i="1"/>
  <c r="K597" i="1"/>
  <c r="I597" i="1"/>
  <c r="P596" i="1"/>
  <c r="L596" i="1"/>
  <c r="I596" i="1"/>
  <c r="N620" i="1"/>
  <c r="K620" i="1"/>
  <c r="H620" i="1"/>
  <c r="L620" i="1" s="1"/>
  <c r="P594" i="1"/>
  <c r="L594" i="1"/>
  <c r="I594" i="1"/>
  <c r="P593" i="1"/>
  <c r="L593" i="1"/>
  <c r="I593" i="1"/>
  <c r="N592" i="1"/>
  <c r="L592" i="1"/>
  <c r="K592" i="1"/>
  <c r="I592" i="1"/>
  <c r="P595" i="1"/>
  <c r="H595" i="1"/>
  <c r="L595" i="1" s="1"/>
  <c r="P591" i="1"/>
  <c r="L591" i="1"/>
  <c r="I591" i="1"/>
  <c r="N587" i="1"/>
  <c r="K587" i="1"/>
  <c r="H587" i="1"/>
  <c r="N586" i="1"/>
  <c r="L586" i="1"/>
  <c r="K586" i="1"/>
  <c r="I586" i="1"/>
  <c r="N585" i="1"/>
  <c r="L585" i="1"/>
  <c r="K585" i="1"/>
  <c r="I585" i="1"/>
  <c r="P584" i="1"/>
  <c r="L584" i="1"/>
  <c r="I584" i="1"/>
  <c r="P583" i="1"/>
  <c r="L583" i="1"/>
  <c r="I583" i="1"/>
  <c r="P582" i="1"/>
  <c r="L582" i="1"/>
  <c r="I582" i="1"/>
  <c r="P581" i="1"/>
  <c r="L581" i="1"/>
  <c r="I581" i="1"/>
  <c r="P580" i="1"/>
  <c r="L580" i="1"/>
  <c r="I580" i="1"/>
  <c r="P579" i="1"/>
  <c r="H579" i="1"/>
  <c r="L579" i="1" s="1"/>
  <c r="P578" i="1"/>
  <c r="L578" i="1"/>
  <c r="I578" i="1"/>
  <c r="N577" i="1"/>
  <c r="L577" i="1"/>
  <c r="K577" i="1"/>
  <c r="I577" i="1"/>
  <c r="P576" i="1"/>
  <c r="L576" i="1"/>
  <c r="I576" i="1"/>
  <c r="P575" i="1"/>
  <c r="L575" i="1"/>
  <c r="I575" i="1"/>
  <c r="N574" i="1"/>
  <c r="L574" i="1"/>
  <c r="K574" i="1"/>
  <c r="J574" i="1"/>
  <c r="I574" i="1"/>
  <c r="P571" i="1"/>
  <c r="L571" i="1"/>
  <c r="I571" i="1"/>
  <c r="P573" i="1"/>
  <c r="L573" i="1"/>
  <c r="I573" i="1"/>
  <c r="P572" i="1"/>
  <c r="L572" i="1"/>
  <c r="I572" i="1"/>
  <c r="N570" i="1"/>
  <c r="P570" i="1" s="1"/>
  <c r="H570" i="1"/>
  <c r="L570" i="1" s="1"/>
  <c r="N569" i="1"/>
  <c r="L569" i="1"/>
  <c r="K569" i="1"/>
  <c r="I569" i="1"/>
  <c r="P568" i="1"/>
  <c r="L568" i="1"/>
  <c r="I568" i="1"/>
  <c r="P567" i="1"/>
  <c r="L567" i="1"/>
  <c r="I567" i="1"/>
  <c r="P566" i="1"/>
  <c r="L566" i="1"/>
  <c r="I566" i="1"/>
  <c r="N565" i="1"/>
  <c r="L565" i="1"/>
  <c r="K565" i="1"/>
  <c r="I565" i="1"/>
  <c r="N563" i="1"/>
  <c r="L563" i="1"/>
  <c r="K563" i="1"/>
  <c r="I563" i="1"/>
  <c r="N562" i="1"/>
  <c r="L562" i="1"/>
  <c r="K562" i="1"/>
  <c r="I562" i="1"/>
  <c r="N561" i="1"/>
  <c r="K561" i="1"/>
  <c r="H561" i="1"/>
  <c r="L561" i="1" s="1"/>
  <c r="N560" i="1"/>
  <c r="L560" i="1"/>
  <c r="K560" i="1"/>
  <c r="I560" i="1"/>
  <c r="N559" i="1"/>
  <c r="L559" i="1"/>
  <c r="K559" i="1"/>
  <c r="I559" i="1"/>
  <c r="N553" i="1"/>
  <c r="L553" i="1"/>
  <c r="K553" i="1"/>
  <c r="I553" i="1"/>
  <c r="N552" i="1"/>
  <c r="L552" i="1"/>
  <c r="K552" i="1"/>
  <c r="I552" i="1"/>
  <c r="P551" i="1"/>
  <c r="L551" i="1"/>
  <c r="I551" i="1"/>
  <c r="P550" i="1"/>
  <c r="L550" i="1"/>
  <c r="I550" i="1"/>
  <c r="N549" i="1"/>
  <c r="L549" i="1"/>
  <c r="K549" i="1"/>
  <c r="I549" i="1"/>
  <c r="P548" i="1"/>
  <c r="L548" i="1"/>
  <c r="I548" i="1"/>
  <c r="P546" i="1"/>
  <c r="L546" i="1"/>
  <c r="I546" i="1"/>
  <c r="N326" i="1"/>
  <c r="K326" i="1"/>
  <c r="H326" i="1"/>
  <c r="L326" i="1" s="1"/>
  <c r="P545" i="1"/>
  <c r="L545" i="1"/>
  <c r="I545" i="1"/>
  <c r="N544" i="1"/>
  <c r="L544" i="1"/>
  <c r="K544" i="1"/>
  <c r="I544" i="1"/>
  <c r="P543" i="1"/>
  <c r="L543" i="1"/>
  <c r="I543" i="1"/>
  <c r="P542" i="1"/>
  <c r="L542" i="1"/>
  <c r="I542" i="1"/>
  <c r="N541" i="1"/>
  <c r="L541" i="1"/>
  <c r="K541" i="1"/>
  <c r="I541" i="1"/>
  <c r="P540" i="1"/>
  <c r="L540" i="1"/>
  <c r="I540" i="1"/>
  <c r="N539" i="1"/>
  <c r="L539" i="1"/>
  <c r="K539" i="1"/>
  <c r="I539" i="1"/>
  <c r="N538" i="1"/>
  <c r="L538" i="1"/>
  <c r="K538" i="1"/>
  <c r="I538" i="1"/>
  <c r="N535" i="1"/>
  <c r="L535" i="1"/>
  <c r="K535" i="1"/>
  <c r="I535" i="1"/>
  <c r="N534" i="1"/>
  <c r="L534" i="1"/>
  <c r="K534" i="1"/>
  <c r="I534" i="1"/>
  <c r="P533" i="1"/>
  <c r="L533" i="1"/>
  <c r="I533" i="1"/>
  <c r="P532" i="1"/>
  <c r="L532" i="1"/>
  <c r="I532" i="1"/>
  <c r="P531" i="1"/>
  <c r="L531" i="1"/>
  <c r="I531" i="1"/>
  <c r="P529" i="1"/>
  <c r="L529" i="1"/>
  <c r="I529" i="1"/>
  <c r="P528" i="1"/>
  <c r="L528" i="1"/>
  <c r="I528" i="1"/>
  <c r="P527" i="1"/>
  <c r="L527" i="1"/>
  <c r="I527" i="1"/>
  <c r="P526" i="1"/>
  <c r="L526" i="1"/>
  <c r="I526" i="1"/>
  <c r="N519" i="1"/>
  <c r="L519" i="1"/>
  <c r="K519" i="1"/>
  <c r="I519" i="1"/>
  <c r="N518" i="1"/>
  <c r="L518" i="1"/>
  <c r="K518" i="1"/>
  <c r="I518" i="1"/>
  <c r="N517" i="1"/>
  <c r="K517" i="1"/>
  <c r="H517" i="1"/>
  <c r="L517" i="1" s="1"/>
  <c r="N516" i="1"/>
  <c r="M516" i="1"/>
  <c r="L516" i="1"/>
  <c r="K516" i="1"/>
  <c r="J516" i="1"/>
  <c r="I516" i="1"/>
  <c r="L515" i="1"/>
  <c r="K515" i="1"/>
  <c r="P515" i="1" s="1"/>
  <c r="I515" i="1"/>
  <c r="P514" i="1"/>
  <c r="L514" i="1"/>
  <c r="I514" i="1"/>
  <c r="P512" i="1"/>
  <c r="L512" i="1"/>
  <c r="I512" i="1"/>
  <c r="N511" i="1"/>
  <c r="L511" i="1"/>
  <c r="K511" i="1"/>
  <c r="I511" i="1"/>
  <c r="N510" i="1"/>
  <c r="L510" i="1"/>
  <c r="K510" i="1"/>
  <c r="I510" i="1"/>
  <c r="P509" i="1"/>
  <c r="L509" i="1"/>
  <c r="I509" i="1"/>
  <c r="P506" i="1"/>
  <c r="L506" i="1"/>
  <c r="I506" i="1"/>
  <c r="N508" i="1"/>
  <c r="L508" i="1"/>
  <c r="K508" i="1"/>
  <c r="I508" i="1"/>
  <c r="N507" i="1"/>
  <c r="L507" i="1"/>
  <c r="K507" i="1"/>
  <c r="I507" i="1"/>
  <c r="P505" i="1"/>
  <c r="H505" i="1"/>
  <c r="L505" i="1" s="1"/>
  <c r="P504" i="1"/>
  <c r="L504" i="1"/>
  <c r="I504" i="1"/>
  <c r="P503" i="1"/>
  <c r="L503" i="1"/>
  <c r="I503" i="1"/>
  <c r="N502" i="1"/>
  <c r="L502" i="1"/>
  <c r="K502" i="1"/>
  <c r="I502" i="1"/>
  <c r="N500" i="1"/>
  <c r="L500" i="1"/>
  <c r="K500" i="1"/>
  <c r="I500" i="1"/>
  <c r="N494" i="1"/>
  <c r="L494" i="1"/>
  <c r="K494" i="1"/>
  <c r="I494" i="1"/>
  <c r="N493" i="1"/>
  <c r="K493" i="1"/>
  <c r="H493" i="1"/>
  <c r="L493" i="1" s="1"/>
  <c r="N492" i="1"/>
  <c r="L492" i="1"/>
  <c r="K492" i="1"/>
  <c r="I492" i="1"/>
  <c r="N491" i="1"/>
  <c r="L491" i="1"/>
  <c r="K491" i="1"/>
  <c r="I491" i="1"/>
  <c r="P490" i="1"/>
  <c r="L490" i="1"/>
  <c r="I490" i="1"/>
  <c r="N488" i="1"/>
  <c r="L488" i="1"/>
  <c r="K488" i="1"/>
  <c r="I488" i="1"/>
  <c r="N487" i="1"/>
  <c r="P487" i="1" s="1"/>
  <c r="L487" i="1"/>
  <c r="I487" i="1"/>
  <c r="N486" i="1"/>
  <c r="L486" i="1"/>
  <c r="K486" i="1"/>
  <c r="I486" i="1"/>
  <c r="N484" i="1"/>
  <c r="L484" i="1"/>
  <c r="K484" i="1"/>
  <c r="I484" i="1"/>
  <c r="P485" i="1"/>
  <c r="L485" i="1"/>
  <c r="I485" i="1"/>
  <c r="P483" i="1"/>
  <c r="L483" i="1"/>
  <c r="I483" i="1"/>
  <c r="N482" i="1"/>
  <c r="L482" i="1"/>
  <c r="K482" i="1"/>
  <c r="I482" i="1"/>
  <c r="N481" i="1"/>
  <c r="L481" i="1"/>
  <c r="K481" i="1"/>
  <c r="I481" i="1"/>
  <c r="N480" i="1"/>
  <c r="L480" i="1"/>
  <c r="K480" i="1"/>
  <c r="I480" i="1"/>
  <c r="N479" i="1"/>
  <c r="L479" i="1"/>
  <c r="K479" i="1"/>
  <c r="I479" i="1"/>
  <c r="N478" i="1"/>
  <c r="L478" i="1"/>
  <c r="K478" i="1"/>
  <c r="I478" i="1"/>
  <c r="P477" i="1"/>
  <c r="L477" i="1"/>
  <c r="I477" i="1"/>
  <c r="N476" i="1"/>
  <c r="L476" i="1"/>
  <c r="K476" i="1"/>
  <c r="I476" i="1"/>
  <c r="N475" i="1"/>
  <c r="L475" i="1"/>
  <c r="K475" i="1"/>
  <c r="I475" i="1"/>
  <c r="N474" i="1"/>
  <c r="K474" i="1"/>
  <c r="H474" i="1"/>
  <c r="L474" i="1" s="1"/>
  <c r="N473" i="1"/>
  <c r="L473" i="1"/>
  <c r="K473" i="1"/>
  <c r="I473" i="1"/>
  <c r="N470" i="1"/>
  <c r="L470" i="1"/>
  <c r="K470" i="1"/>
  <c r="I470" i="1"/>
  <c r="N469" i="1"/>
  <c r="L469" i="1"/>
  <c r="K469" i="1"/>
  <c r="I469" i="1"/>
  <c r="P467" i="1"/>
  <c r="L467" i="1"/>
  <c r="I467" i="1"/>
  <c r="P466" i="1"/>
  <c r="H466" i="1"/>
  <c r="L466" i="1" s="1"/>
  <c r="N464" i="1"/>
  <c r="L464" i="1"/>
  <c r="K464" i="1"/>
  <c r="I464" i="1"/>
  <c r="N463" i="1"/>
  <c r="L463" i="1"/>
  <c r="K463" i="1"/>
  <c r="I463" i="1"/>
  <c r="P462" i="1"/>
  <c r="L462" i="1"/>
  <c r="I462" i="1"/>
  <c r="P461" i="1"/>
  <c r="H461" i="1"/>
  <c r="L461" i="1" s="1"/>
  <c r="P458" i="1"/>
  <c r="L458" i="1"/>
  <c r="I458" i="1"/>
  <c r="P457" i="1"/>
  <c r="L457" i="1"/>
  <c r="I457" i="1"/>
  <c r="P456" i="1"/>
  <c r="L456" i="1"/>
  <c r="I456" i="1"/>
  <c r="N455" i="1"/>
  <c r="L455" i="1"/>
  <c r="K455" i="1"/>
  <c r="I455" i="1"/>
  <c r="P454" i="1"/>
  <c r="L454" i="1"/>
  <c r="I454" i="1"/>
  <c r="N453" i="1"/>
  <c r="L453" i="1"/>
  <c r="K453" i="1"/>
  <c r="I453" i="1"/>
  <c r="P451" i="1"/>
  <c r="L451" i="1"/>
  <c r="I451" i="1"/>
  <c r="N450" i="1"/>
  <c r="L450" i="1"/>
  <c r="K450" i="1"/>
  <c r="I450" i="1"/>
  <c r="N449" i="1"/>
  <c r="L449" i="1"/>
  <c r="K449" i="1"/>
  <c r="I449" i="1"/>
  <c r="N448" i="1"/>
  <c r="L448" i="1"/>
  <c r="K448" i="1"/>
  <c r="I448" i="1"/>
  <c r="N447" i="1"/>
  <c r="L447" i="1"/>
  <c r="K447" i="1"/>
  <c r="I447" i="1"/>
  <c r="N446" i="1"/>
  <c r="L446" i="1"/>
  <c r="K446" i="1"/>
  <c r="I446" i="1"/>
  <c r="N445" i="1"/>
  <c r="L445" i="1"/>
  <c r="K445" i="1"/>
  <c r="I445" i="1"/>
  <c r="N444" i="1"/>
  <c r="L444" i="1"/>
  <c r="K444" i="1"/>
  <c r="I444" i="1"/>
  <c r="N443" i="1"/>
  <c r="L443" i="1"/>
  <c r="K443" i="1"/>
  <c r="I443" i="1"/>
  <c r="P442" i="1"/>
  <c r="L442" i="1"/>
  <c r="I442" i="1"/>
  <c r="P441" i="1"/>
  <c r="L441" i="1"/>
  <c r="I441" i="1"/>
  <c r="N440" i="1"/>
  <c r="L440" i="1"/>
  <c r="K440" i="1"/>
  <c r="I440" i="1"/>
  <c r="P439" i="1"/>
  <c r="L439" i="1"/>
  <c r="I439" i="1"/>
  <c r="P438" i="1"/>
  <c r="H438" i="1"/>
  <c r="L438" i="1" s="1"/>
  <c r="P437" i="1"/>
  <c r="H437" i="1"/>
  <c r="L437" i="1" s="1"/>
  <c r="N431" i="1"/>
  <c r="L431" i="1"/>
  <c r="K431" i="1"/>
  <c r="I431" i="1"/>
  <c r="N430" i="1"/>
  <c r="M430" i="1"/>
  <c r="K430" i="1"/>
  <c r="H430" i="1"/>
  <c r="L430" i="1" s="1"/>
  <c r="P429" i="1"/>
  <c r="L429" i="1"/>
  <c r="I429" i="1"/>
  <c r="P428" i="1"/>
  <c r="L428" i="1"/>
  <c r="I428" i="1"/>
  <c r="P427" i="1"/>
  <c r="L427" i="1"/>
  <c r="I427" i="1"/>
  <c r="N426" i="1"/>
  <c r="L426" i="1"/>
  <c r="K426" i="1"/>
  <c r="J426" i="1"/>
  <c r="I426" i="1"/>
  <c r="N425" i="1"/>
  <c r="K425" i="1"/>
  <c r="J425" i="1"/>
  <c r="H425" i="1"/>
  <c r="L425" i="1" s="1"/>
  <c r="N424" i="1"/>
  <c r="L424" i="1"/>
  <c r="K424" i="1"/>
  <c r="I424" i="1"/>
  <c r="N423" i="1"/>
  <c r="P423" i="1" s="1"/>
  <c r="L423" i="1"/>
  <c r="I423" i="1"/>
  <c r="N422" i="1"/>
  <c r="L422" i="1"/>
  <c r="K422" i="1"/>
  <c r="I422" i="1"/>
  <c r="N420" i="1"/>
  <c r="K420" i="1"/>
  <c r="H420" i="1"/>
  <c r="L420" i="1" s="1"/>
  <c r="P419" i="1"/>
  <c r="L419" i="1"/>
  <c r="I419" i="1"/>
  <c r="P414" i="1"/>
  <c r="H414" i="1"/>
  <c r="L414" i="1" s="1"/>
  <c r="P418" i="1"/>
  <c r="H418" i="1"/>
  <c r="L418" i="1" s="1"/>
  <c r="P417" i="1"/>
  <c r="L417" i="1"/>
  <c r="I417" i="1"/>
  <c r="P416" i="1"/>
  <c r="H416" i="1"/>
  <c r="L416" i="1" s="1"/>
  <c r="P415" i="1"/>
  <c r="L415" i="1"/>
  <c r="I415" i="1"/>
  <c r="P413" i="1"/>
  <c r="L413" i="1"/>
  <c r="I413" i="1"/>
  <c r="P412" i="1"/>
  <c r="L412" i="1"/>
  <c r="I412" i="1"/>
  <c r="P411" i="1"/>
  <c r="L411" i="1"/>
  <c r="I411" i="1"/>
  <c r="P410" i="1"/>
  <c r="H410" i="1"/>
  <c r="L410" i="1" s="1"/>
  <c r="P409" i="1"/>
  <c r="L409" i="1"/>
  <c r="I409" i="1"/>
  <c r="P408" i="1"/>
  <c r="L408" i="1"/>
  <c r="I408" i="1"/>
  <c r="N405" i="1"/>
  <c r="P405" i="1" s="1"/>
  <c r="L405" i="1"/>
  <c r="I405" i="1"/>
  <c r="N404" i="1"/>
  <c r="P404" i="1" s="1"/>
  <c r="L404" i="1"/>
  <c r="I404" i="1"/>
  <c r="N402" i="1"/>
  <c r="P402" i="1" s="1"/>
  <c r="L402" i="1"/>
  <c r="I402" i="1"/>
  <c r="P396" i="1"/>
  <c r="L396" i="1"/>
  <c r="I396" i="1"/>
  <c r="N395" i="1"/>
  <c r="L395" i="1"/>
  <c r="K395" i="1"/>
  <c r="I395" i="1"/>
  <c r="N394" i="1"/>
  <c r="L394" i="1"/>
  <c r="K394" i="1"/>
  <c r="I394" i="1"/>
  <c r="P393" i="1"/>
  <c r="L393" i="1"/>
  <c r="I393" i="1"/>
  <c r="N392" i="1"/>
  <c r="L392" i="1"/>
  <c r="K392" i="1"/>
  <c r="I392" i="1"/>
  <c r="L386" i="1"/>
  <c r="K386" i="1"/>
  <c r="P386" i="1" s="1"/>
  <c r="I386" i="1"/>
  <c r="N385" i="1"/>
  <c r="K385" i="1"/>
  <c r="H385" i="1"/>
  <c r="L385" i="1" s="1"/>
  <c r="N384" i="1"/>
  <c r="L384" i="1"/>
  <c r="K384" i="1"/>
  <c r="I384" i="1"/>
  <c r="P383" i="1"/>
  <c r="L383" i="1"/>
  <c r="I383" i="1"/>
  <c r="N382" i="1"/>
  <c r="L382" i="1"/>
  <c r="K382" i="1"/>
  <c r="I382" i="1"/>
  <c r="N381" i="1"/>
  <c r="L381" i="1"/>
  <c r="K381" i="1"/>
  <c r="I381" i="1"/>
  <c r="M375" i="1"/>
  <c r="L375" i="1"/>
  <c r="J375" i="1"/>
  <c r="I375" i="1"/>
  <c r="P374" i="1"/>
  <c r="L374" i="1"/>
  <c r="I374" i="1"/>
  <c r="P372" i="1"/>
  <c r="L372" i="1"/>
  <c r="I372" i="1"/>
  <c r="P371" i="1"/>
  <c r="L371" i="1"/>
  <c r="I371" i="1"/>
  <c r="G371" i="1"/>
  <c r="P370" i="1"/>
  <c r="L370" i="1"/>
  <c r="I370" i="1"/>
  <c r="L368" i="1"/>
  <c r="K368" i="1"/>
  <c r="P368" i="1" s="1"/>
  <c r="I368" i="1"/>
  <c r="N366" i="1"/>
  <c r="L366" i="1"/>
  <c r="K366" i="1"/>
  <c r="I366" i="1"/>
  <c r="N360" i="1"/>
  <c r="K360" i="1"/>
  <c r="H360" i="1"/>
  <c r="L360" i="1" s="1"/>
  <c r="N359" i="1"/>
  <c r="L359" i="1"/>
  <c r="K359" i="1"/>
  <c r="I359" i="1"/>
  <c r="N361" i="1"/>
  <c r="L361" i="1"/>
  <c r="K361" i="1"/>
  <c r="I361" i="1"/>
  <c r="N357" i="1"/>
  <c r="L357" i="1"/>
  <c r="K357" i="1"/>
  <c r="I357" i="1"/>
  <c r="N358" i="1"/>
  <c r="L358" i="1"/>
  <c r="K358" i="1"/>
  <c r="I358" i="1"/>
  <c r="N355" i="1"/>
  <c r="L355" i="1"/>
  <c r="K355" i="1"/>
  <c r="I355" i="1"/>
  <c r="P353" i="1"/>
  <c r="L353" i="1"/>
  <c r="I353" i="1"/>
  <c r="P352" i="1"/>
  <c r="H352" i="1"/>
  <c r="L352" i="1" s="1"/>
  <c r="N351" i="1"/>
  <c r="L351" i="1"/>
  <c r="K351" i="1"/>
  <c r="I351" i="1"/>
  <c r="N350" i="1"/>
  <c r="L350" i="1"/>
  <c r="K350" i="1"/>
  <c r="I350" i="1"/>
  <c r="P349" i="1"/>
  <c r="L349" i="1"/>
  <c r="I349" i="1"/>
  <c r="P348" i="1"/>
  <c r="L348" i="1"/>
  <c r="I348" i="1"/>
  <c r="P347" i="1"/>
  <c r="L347" i="1"/>
  <c r="I347" i="1"/>
  <c r="P345" i="1"/>
  <c r="L345" i="1"/>
  <c r="I345" i="1"/>
  <c r="N344" i="1"/>
  <c r="L344" i="1"/>
  <c r="K344" i="1"/>
  <c r="I344" i="1"/>
  <c r="P343" i="1"/>
  <c r="L343" i="1"/>
  <c r="I343" i="1"/>
  <c r="N342" i="1"/>
  <c r="L342" i="1"/>
  <c r="K342" i="1"/>
  <c r="I342" i="1"/>
  <c r="P341" i="1"/>
  <c r="L341" i="1"/>
  <c r="I341" i="1"/>
  <c r="P340" i="1"/>
  <c r="L340" i="1"/>
  <c r="I340" i="1"/>
  <c r="N339" i="1"/>
  <c r="L339" i="1"/>
  <c r="K339" i="1"/>
  <c r="I339" i="1"/>
  <c r="P337" i="1"/>
  <c r="L337" i="1"/>
  <c r="I337" i="1"/>
  <c r="P333" i="1"/>
  <c r="L333" i="1"/>
  <c r="I333" i="1"/>
  <c r="P331" i="1"/>
  <c r="L331" i="1"/>
  <c r="I331" i="1"/>
  <c r="P330" i="1"/>
  <c r="L330" i="1"/>
  <c r="I330" i="1"/>
  <c r="N325" i="1"/>
  <c r="L325" i="1"/>
  <c r="K325" i="1"/>
  <c r="J325" i="1"/>
  <c r="I325" i="1"/>
  <c r="N324" i="1"/>
  <c r="L324" i="1"/>
  <c r="K324" i="1"/>
  <c r="I324" i="1"/>
  <c r="P323" i="1"/>
  <c r="L323" i="1"/>
  <c r="I323" i="1"/>
  <c r="P322" i="1"/>
  <c r="H322" i="1"/>
  <c r="L322" i="1" s="1"/>
  <c r="P321" i="1"/>
  <c r="H321" i="1"/>
  <c r="L321" i="1" s="1"/>
  <c r="N318" i="1"/>
  <c r="L318" i="1"/>
  <c r="K318" i="1"/>
  <c r="I318" i="1"/>
  <c r="N317" i="1"/>
  <c r="L317" i="1"/>
  <c r="K317" i="1"/>
  <c r="I317" i="1"/>
  <c r="N316" i="1"/>
  <c r="L316" i="1"/>
  <c r="K316" i="1"/>
  <c r="I316" i="1"/>
  <c r="N315" i="1"/>
  <c r="L315" i="1"/>
  <c r="K315" i="1"/>
  <c r="I315" i="1"/>
  <c r="N314" i="1"/>
  <c r="K314" i="1"/>
  <c r="H314" i="1"/>
  <c r="L314" i="1" s="1"/>
  <c r="P313" i="1"/>
  <c r="L313" i="1"/>
  <c r="I313" i="1"/>
  <c r="P312" i="1"/>
  <c r="L312" i="1"/>
  <c r="I312" i="1"/>
  <c r="P311" i="1"/>
  <c r="L311" i="1"/>
  <c r="I311" i="1"/>
  <c r="N304" i="1"/>
  <c r="K304" i="1"/>
  <c r="H304" i="1"/>
  <c r="L304" i="1" s="1"/>
  <c r="N303" i="1"/>
  <c r="L303" i="1"/>
  <c r="K303" i="1"/>
  <c r="I303" i="1"/>
  <c r="N302" i="1"/>
  <c r="K302" i="1"/>
  <c r="H302" i="1"/>
  <c r="L302" i="1" s="1"/>
  <c r="N301" i="1"/>
  <c r="L301" i="1"/>
  <c r="K301" i="1"/>
  <c r="J301" i="1"/>
  <c r="I301" i="1"/>
  <c r="N298" i="1"/>
  <c r="K298" i="1"/>
  <c r="H298" i="1"/>
  <c r="L298" i="1" s="1"/>
  <c r="N297" i="1"/>
  <c r="L297" i="1"/>
  <c r="K297" i="1"/>
  <c r="I297" i="1"/>
  <c r="N296" i="1"/>
  <c r="K296" i="1"/>
  <c r="H296" i="1"/>
  <c r="L296" i="1" s="1"/>
  <c r="N295" i="1"/>
  <c r="L295" i="1"/>
  <c r="K295" i="1"/>
  <c r="J295" i="1"/>
  <c r="I295" i="1"/>
  <c r="N294" i="1"/>
  <c r="L294" i="1"/>
  <c r="K294" i="1"/>
  <c r="I294" i="1"/>
  <c r="N293" i="1"/>
  <c r="L293" i="1"/>
  <c r="K293" i="1"/>
  <c r="I293" i="1"/>
  <c r="P289" i="1"/>
  <c r="H289" i="1"/>
  <c r="L289" i="1" s="1"/>
  <c r="P288" i="1"/>
  <c r="L288" i="1"/>
  <c r="I288" i="1"/>
  <c r="N287" i="1"/>
  <c r="K287" i="1"/>
  <c r="H287" i="1"/>
  <c r="L287" i="1" s="1"/>
  <c r="N286" i="1"/>
  <c r="L286" i="1"/>
  <c r="K286" i="1"/>
  <c r="I286" i="1"/>
  <c r="N285" i="1"/>
  <c r="L285" i="1"/>
  <c r="K285" i="1"/>
  <c r="I285" i="1"/>
  <c r="N284" i="1"/>
  <c r="L284" i="1"/>
  <c r="K284" i="1"/>
  <c r="I284" i="1"/>
  <c r="N283" i="1"/>
  <c r="L283" i="1"/>
  <c r="K283" i="1"/>
  <c r="I283" i="1"/>
  <c r="N282" i="1"/>
  <c r="K282" i="1"/>
  <c r="H282" i="1"/>
  <c r="L282" i="1" s="1"/>
  <c r="N281" i="1"/>
  <c r="L281" i="1"/>
  <c r="K281" i="1"/>
  <c r="I281" i="1"/>
  <c r="N280" i="1"/>
  <c r="L280" i="1"/>
  <c r="K280" i="1"/>
  <c r="I280" i="1"/>
  <c r="N279" i="1"/>
  <c r="L279" i="1"/>
  <c r="K279" i="1"/>
  <c r="I279" i="1"/>
  <c r="N278" i="1"/>
  <c r="L278" i="1"/>
  <c r="K278" i="1"/>
  <c r="I278" i="1"/>
  <c r="P277" i="1"/>
  <c r="L277" i="1"/>
  <c r="I277" i="1"/>
  <c r="N276" i="1"/>
  <c r="L276" i="1"/>
  <c r="K276" i="1"/>
  <c r="I276" i="1"/>
  <c r="N273" i="1"/>
  <c r="L273" i="1"/>
  <c r="K273" i="1"/>
  <c r="I273" i="1"/>
  <c r="N272" i="1"/>
  <c r="L272" i="1"/>
  <c r="K272" i="1"/>
  <c r="I272" i="1"/>
  <c r="N270" i="1"/>
  <c r="L270" i="1"/>
  <c r="K270" i="1"/>
  <c r="I270" i="1"/>
  <c r="N269" i="1"/>
  <c r="L269" i="1"/>
  <c r="K269" i="1"/>
  <c r="I269" i="1"/>
  <c r="N268" i="1"/>
  <c r="L268" i="1"/>
  <c r="K268" i="1"/>
  <c r="I268" i="1"/>
  <c r="P267" i="1"/>
  <c r="L267" i="1"/>
  <c r="I267" i="1"/>
  <c r="P263" i="1"/>
  <c r="L263" i="1"/>
  <c r="I263" i="1"/>
  <c r="P262" i="1"/>
  <c r="L262" i="1"/>
  <c r="I262" i="1"/>
  <c r="G262" i="1"/>
  <c r="P266" i="1"/>
  <c r="L266" i="1"/>
  <c r="I266" i="1"/>
  <c r="P265" i="1"/>
  <c r="L265" i="1"/>
  <c r="I265" i="1"/>
  <c r="P264" i="1"/>
  <c r="L264" i="1"/>
  <c r="I264" i="1"/>
  <c r="P261" i="1"/>
  <c r="L261" i="1"/>
  <c r="I261" i="1"/>
  <c r="P260" i="1"/>
  <c r="L260" i="1"/>
  <c r="I260" i="1"/>
  <c r="P259" i="1"/>
  <c r="L259" i="1"/>
  <c r="I259" i="1"/>
  <c r="N254" i="1"/>
  <c r="L254" i="1"/>
  <c r="K254" i="1"/>
  <c r="I254" i="1"/>
  <c r="N253" i="1"/>
  <c r="K253" i="1"/>
  <c r="H253" i="1"/>
  <c r="L253" i="1" s="1"/>
  <c r="N252" i="1"/>
  <c r="L252" i="1"/>
  <c r="K252" i="1"/>
  <c r="I252" i="1"/>
  <c r="N249" i="1"/>
  <c r="L249" i="1"/>
  <c r="K249" i="1"/>
  <c r="I249" i="1"/>
  <c r="N251" i="1"/>
  <c r="M251" i="1"/>
  <c r="L251" i="1"/>
  <c r="K251" i="1"/>
  <c r="I251" i="1"/>
  <c r="N248" i="1"/>
  <c r="L248" i="1"/>
  <c r="K248" i="1"/>
  <c r="I248" i="1"/>
  <c r="P247" i="1"/>
  <c r="L247" i="1"/>
  <c r="I247" i="1"/>
  <c r="P246" i="1"/>
  <c r="L246" i="1"/>
  <c r="I246" i="1"/>
  <c r="N244" i="1"/>
  <c r="L244" i="1"/>
  <c r="K244" i="1"/>
  <c r="I244" i="1"/>
  <c r="N242" i="1"/>
  <c r="L242" i="1"/>
  <c r="K242" i="1"/>
  <c r="I242" i="1"/>
  <c r="P241" i="1"/>
  <c r="L241" i="1"/>
  <c r="I241" i="1"/>
  <c r="P240" i="1"/>
  <c r="L240" i="1"/>
  <c r="I240" i="1"/>
  <c r="P239" i="1"/>
  <c r="L239" i="1"/>
  <c r="I239" i="1"/>
  <c r="P238" i="1"/>
  <c r="L238" i="1"/>
  <c r="I238" i="1"/>
  <c r="N237" i="1"/>
  <c r="L237" i="1"/>
  <c r="K237" i="1"/>
  <c r="I237" i="1"/>
  <c r="N228" i="1"/>
  <c r="L228" i="1"/>
  <c r="K228" i="1"/>
  <c r="I228" i="1"/>
  <c r="N227" i="1"/>
  <c r="K227" i="1"/>
  <c r="H227" i="1"/>
  <c r="L227" i="1" s="1"/>
  <c r="P231" i="1"/>
  <c r="L231" i="1"/>
  <c r="I231" i="1"/>
  <c r="L230" i="1"/>
  <c r="K230" i="1"/>
  <c r="P230" i="1" s="1"/>
  <c r="I230" i="1"/>
  <c r="P229" i="1"/>
  <c r="L229" i="1"/>
  <c r="I229" i="1"/>
  <c r="P226" i="1"/>
  <c r="H226" i="1"/>
  <c r="L226" i="1" s="1"/>
  <c r="N225" i="1"/>
  <c r="L225" i="1"/>
  <c r="K225" i="1"/>
  <c r="I225" i="1"/>
  <c r="N224" i="1"/>
  <c r="L224" i="1"/>
  <c r="K224" i="1"/>
  <c r="I224" i="1"/>
  <c r="P223" i="1"/>
  <c r="L223" i="1"/>
  <c r="I223" i="1"/>
  <c r="P216" i="1"/>
  <c r="L216" i="1"/>
  <c r="I216" i="1"/>
  <c r="N215" i="1"/>
  <c r="L215" i="1"/>
  <c r="K215" i="1"/>
  <c r="I215" i="1"/>
  <c r="N214" i="1"/>
  <c r="K214" i="1"/>
  <c r="H214" i="1"/>
  <c r="L214" i="1" s="1"/>
  <c r="N213" i="1"/>
  <c r="M213" i="1"/>
  <c r="L213" i="1"/>
  <c r="K213" i="1"/>
  <c r="J213" i="1"/>
  <c r="I213" i="1"/>
  <c r="N212" i="1"/>
  <c r="L212" i="1"/>
  <c r="K212" i="1"/>
  <c r="J212" i="1"/>
  <c r="I212" i="1"/>
  <c r="P211" i="1"/>
  <c r="L211" i="1"/>
  <c r="I211" i="1"/>
  <c r="N208" i="1"/>
  <c r="L208" i="1"/>
  <c r="K208" i="1"/>
  <c r="I208" i="1"/>
  <c r="P207" i="1"/>
  <c r="L207" i="1"/>
  <c r="I207" i="1"/>
  <c r="N205" i="1"/>
  <c r="L205" i="1"/>
  <c r="K205" i="1"/>
  <c r="I205" i="1"/>
  <c r="N201" i="1"/>
  <c r="L201" i="1"/>
  <c r="K201" i="1"/>
  <c r="I201" i="1"/>
  <c r="P200" i="1"/>
  <c r="L200" i="1"/>
  <c r="I200" i="1"/>
  <c r="N199" i="1"/>
  <c r="L199" i="1"/>
  <c r="K199" i="1"/>
  <c r="I199" i="1"/>
  <c r="N198" i="1"/>
  <c r="L198" i="1"/>
  <c r="K198" i="1"/>
  <c r="I198" i="1"/>
  <c r="P195" i="1"/>
  <c r="L195" i="1"/>
  <c r="I195" i="1"/>
  <c r="N194" i="1"/>
  <c r="L194" i="1"/>
  <c r="K194" i="1"/>
  <c r="I194" i="1"/>
  <c r="P191" i="1"/>
  <c r="L191" i="1"/>
  <c r="I191" i="1"/>
  <c r="P190" i="1"/>
  <c r="L190" i="1"/>
  <c r="I190" i="1"/>
  <c r="P189" i="1"/>
  <c r="L189" i="1"/>
  <c r="I189" i="1"/>
  <c r="P188" i="1"/>
  <c r="L188" i="1"/>
  <c r="I188" i="1"/>
  <c r="P187" i="1"/>
  <c r="L187" i="1"/>
  <c r="I187" i="1"/>
  <c r="P186" i="1"/>
  <c r="L186" i="1"/>
  <c r="I186" i="1"/>
  <c r="P185" i="1"/>
  <c r="L185" i="1"/>
  <c r="I185" i="1"/>
  <c r="N183" i="1"/>
  <c r="L183" i="1"/>
  <c r="K183" i="1"/>
  <c r="I183" i="1"/>
  <c r="N182" i="1"/>
  <c r="L182" i="1"/>
  <c r="K182" i="1"/>
  <c r="I182" i="1"/>
  <c r="P181" i="1"/>
  <c r="L181" i="1"/>
  <c r="N180" i="1"/>
  <c r="L180" i="1"/>
  <c r="K180" i="1"/>
  <c r="I180" i="1"/>
  <c r="P179" i="1"/>
  <c r="L179" i="1"/>
  <c r="I179" i="1"/>
  <c r="N176" i="1"/>
  <c r="L176" i="1"/>
  <c r="K176" i="1"/>
  <c r="I176" i="1"/>
  <c r="N175" i="1"/>
  <c r="L175" i="1"/>
  <c r="K175" i="1"/>
  <c r="I175" i="1"/>
  <c r="P172" i="1"/>
  <c r="L172" i="1"/>
  <c r="I172" i="1"/>
  <c r="P171" i="1"/>
  <c r="L171" i="1"/>
  <c r="I171" i="1"/>
  <c r="N168" i="1"/>
  <c r="L168" i="1"/>
  <c r="K168" i="1"/>
  <c r="I168" i="1"/>
  <c r="N167" i="1"/>
  <c r="L167" i="1"/>
  <c r="K167" i="1"/>
  <c r="I167" i="1"/>
  <c r="N164" i="1"/>
  <c r="L164" i="1"/>
  <c r="K164" i="1"/>
  <c r="I164" i="1"/>
  <c r="N163" i="1"/>
  <c r="L163" i="1"/>
  <c r="K163" i="1"/>
  <c r="I163" i="1"/>
  <c r="N162" i="1"/>
  <c r="L162" i="1"/>
  <c r="K162" i="1"/>
  <c r="I162" i="1"/>
  <c r="P161" i="1"/>
  <c r="L161" i="1"/>
  <c r="I161" i="1"/>
  <c r="N160" i="1"/>
  <c r="L160" i="1"/>
  <c r="K160" i="1"/>
  <c r="I160" i="1"/>
  <c r="N158" i="1"/>
  <c r="L158" i="1"/>
  <c r="K158" i="1"/>
  <c r="I158" i="1"/>
  <c r="P157" i="1"/>
  <c r="L157" i="1"/>
  <c r="I157" i="1"/>
  <c r="P24" i="1"/>
  <c r="H24" i="1"/>
  <c r="L24" i="1" s="1"/>
  <c r="N23" i="1"/>
  <c r="L23" i="1"/>
  <c r="K23" i="1"/>
  <c r="I23" i="1"/>
  <c r="N25" i="1"/>
  <c r="L25" i="1"/>
  <c r="K25" i="1"/>
  <c r="I25" i="1"/>
  <c r="P22" i="1"/>
  <c r="L22" i="1"/>
  <c r="I22" i="1"/>
  <c r="N21" i="1"/>
  <c r="L21" i="1"/>
  <c r="K21" i="1"/>
  <c r="I21" i="1"/>
  <c r="P155" i="1"/>
  <c r="L155" i="1"/>
  <c r="I155" i="1"/>
  <c r="N154" i="1"/>
  <c r="L154" i="1"/>
  <c r="K154" i="1"/>
  <c r="I154" i="1"/>
  <c r="P153" i="1"/>
  <c r="L153" i="1"/>
  <c r="I153" i="1"/>
  <c r="N152" i="1"/>
  <c r="L152" i="1"/>
  <c r="K152" i="1"/>
  <c r="I152" i="1"/>
  <c r="P148" i="1"/>
  <c r="L148" i="1"/>
  <c r="I148" i="1"/>
  <c r="N147" i="1"/>
  <c r="L147" i="1"/>
  <c r="K147" i="1"/>
  <c r="I147" i="1"/>
  <c r="P144" i="1"/>
  <c r="L144" i="1"/>
  <c r="I144" i="1"/>
  <c r="P151" i="1"/>
  <c r="L151" i="1"/>
  <c r="I151" i="1"/>
  <c r="N150" i="1"/>
  <c r="L150" i="1"/>
  <c r="K150" i="1"/>
  <c r="I150" i="1"/>
  <c r="L149" i="1"/>
  <c r="K149" i="1"/>
  <c r="P149" i="1" s="1"/>
  <c r="I149" i="1"/>
  <c r="P146" i="1"/>
  <c r="L146" i="1"/>
  <c r="I146" i="1"/>
  <c r="N145" i="1"/>
  <c r="L145" i="1"/>
  <c r="K145" i="1"/>
  <c r="I145" i="1"/>
  <c r="P143" i="1"/>
  <c r="L143" i="1"/>
  <c r="I143" i="1"/>
  <c r="P142" i="1"/>
  <c r="L142" i="1"/>
  <c r="I142" i="1"/>
  <c r="P141" i="1"/>
  <c r="L141" i="1"/>
  <c r="I141" i="1"/>
  <c r="N140" i="1"/>
  <c r="L140" i="1"/>
  <c r="K140" i="1"/>
  <c r="I140" i="1"/>
  <c r="N139" i="1"/>
  <c r="L139" i="1"/>
  <c r="K139" i="1"/>
  <c r="I139" i="1"/>
  <c r="N138" i="1"/>
  <c r="L138" i="1"/>
  <c r="K138" i="1"/>
  <c r="I138" i="1"/>
  <c r="N137" i="1"/>
  <c r="L137" i="1"/>
  <c r="K137" i="1"/>
  <c r="I137" i="1"/>
  <c r="N136" i="1"/>
  <c r="L136" i="1"/>
  <c r="K136" i="1"/>
  <c r="I136" i="1"/>
  <c r="N135" i="1"/>
  <c r="K135" i="1"/>
  <c r="I135" i="1"/>
  <c r="O135" i="1" s="1"/>
  <c r="N131" i="1"/>
  <c r="L131" i="1"/>
  <c r="K131" i="1"/>
  <c r="I131" i="1"/>
  <c r="P127" i="1"/>
  <c r="H127" i="1"/>
  <c r="L127" i="1" s="1"/>
  <c r="P126" i="1"/>
  <c r="L126" i="1"/>
  <c r="I126" i="1"/>
  <c r="N125" i="1"/>
  <c r="L125" i="1"/>
  <c r="K125" i="1"/>
  <c r="I125" i="1"/>
  <c r="N123" i="1"/>
  <c r="L123" i="1"/>
  <c r="K123" i="1"/>
  <c r="I123" i="1"/>
  <c r="N122" i="1"/>
  <c r="M122" i="1"/>
  <c r="L122" i="1"/>
  <c r="K122" i="1"/>
  <c r="I122" i="1"/>
  <c r="N121" i="1"/>
  <c r="M121" i="1"/>
  <c r="L121" i="1"/>
  <c r="K121" i="1"/>
  <c r="I121" i="1"/>
  <c r="N120" i="1"/>
  <c r="L120" i="1"/>
  <c r="K120" i="1"/>
  <c r="I120" i="1"/>
  <c r="N119" i="1"/>
  <c r="L119" i="1"/>
  <c r="K119" i="1"/>
  <c r="I119" i="1"/>
  <c r="N117" i="1"/>
  <c r="L117" i="1"/>
  <c r="K117" i="1"/>
  <c r="I117" i="1"/>
  <c r="N116" i="1"/>
  <c r="L116" i="1"/>
  <c r="K116" i="1"/>
  <c r="I116" i="1"/>
  <c r="P115" i="1"/>
  <c r="L115" i="1"/>
  <c r="I115" i="1"/>
  <c r="N114" i="1"/>
  <c r="L114" i="1"/>
  <c r="K114" i="1"/>
  <c r="I114" i="1"/>
  <c r="P113" i="1"/>
  <c r="L113" i="1"/>
  <c r="I113" i="1"/>
  <c r="P112" i="1"/>
  <c r="L112" i="1"/>
  <c r="I112" i="1"/>
  <c r="P111" i="1"/>
  <c r="L111" i="1"/>
  <c r="I111" i="1"/>
  <c r="N110" i="1"/>
  <c r="L110" i="1"/>
  <c r="K110" i="1"/>
  <c r="I110" i="1"/>
  <c r="N107" i="1"/>
  <c r="L107" i="1"/>
  <c r="K107" i="1"/>
  <c r="I107" i="1"/>
  <c r="P106" i="1"/>
  <c r="L106" i="1"/>
  <c r="I106" i="1"/>
  <c r="P105" i="1"/>
  <c r="L105" i="1"/>
  <c r="I105" i="1"/>
  <c r="P104" i="1"/>
  <c r="L104" i="1"/>
  <c r="I104" i="1"/>
  <c r="N103" i="1"/>
  <c r="L103" i="1"/>
  <c r="K103" i="1"/>
  <c r="I103" i="1"/>
  <c r="N102" i="1"/>
  <c r="L102" i="1"/>
  <c r="K102" i="1"/>
  <c r="I102" i="1"/>
  <c r="N100" i="1"/>
  <c r="L100" i="1"/>
  <c r="K100" i="1"/>
  <c r="I100" i="1"/>
  <c r="N99" i="1"/>
  <c r="L99" i="1"/>
  <c r="K99" i="1"/>
  <c r="I99" i="1"/>
  <c r="N95" i="1"/>
  <c r="M95" i="1"/>
  <c r="L95" i="1"/>
  <c r="I95" i="1"/>
  <c r="N94" i="1"/>
  <c r="L94" i="1"/>
  <c r="K94" i="1"/>
  <c r="I94" i="1"/>
  <c r="N93" i="1"/>
  <c r="L93" i="1"/>
  <c r="I93" i="1"/>
  <c r="P90" i="1"/>
  <c r="L90" i="1"/>
  <c r="I90" i="1"/>
  <c r="N89" i="1"/>
  <c r="L89" i="1"/>
  <c r="K89" i="1"/>
  <c r="I89" i="1"/>
  <c r="N88" i="1"/>
  <c r="L88" i="1"/>
  <c r="K88" i="1"/>
  <c r="I88" i="1"/>
  <c r="N87" i="1"/>
  <c r="L87" i="1"/>
  <c r="K87" i="1"/>
  <c r="I87" i="1"/>
  <c r="P86" i="1"/>
  <c r="L86" i="1"/>
  <c r="I86" i="1"/>
  <c r="N65" i="1"/>
  <c r="L65" i="1"/>
  <c r="K65" i="1"/>
  <c r="I65" i="1"/>
  <c r="N71" i="1"/>
  <c r="L71" i="1"/>
  <c r="K71" i="1"/>
  <c r="I71" i="1"/>
  <c r="N68" i="1"/>
  <c r="K68" i="1"/>
  <c r="H68" i="1"/>
  <c r="L68" i="1" s="1"/>
  <c r="P79" i="1"/>
  <c r="H79" i="1"/>
  <c r="L79" i="1" s="1"/>
  <c r="P78" i="1"/>
  <c r="L78" i="1"/>
  <c r="I78" i="1"/>
  <c r="P77" i="1"/>
  <c r="L77" i="1"/>
  <c r="I77" i="1"/>
  <c r="P85" i="1"/>
  <c r="L85" i="1"/>
  <c r="I85" i="1"/>
  <c r="P84" i="1"/>
  <c r="L84" i="1"/>
  <c r="I84" i="1"/>
  <c r="L76" i="1"/>
  <c r="K76" i="1"/>
  <c r="P76" i="1" s="1"/>
  <c r="I76" i="1"/>
  <c r="N74" i="1"/>
  <c r="L74" i="1"/>
  <c r="K74" i="1"/>
  <c r="I74" i="1"/>
  <c r="N73" i="1"/>
  <c r="L73" i="1"/>
  <c r="K73" i="1"/>
  <c r="I73" i="1"/>
  <c r="N67" i="1"/>
  <c r="L67" i="1"/>
  <c r="K67" i="1"/>
  <c r="I67" i="1"/>
  <c r="N70" i="1"/>
  <c r="L70" i="1"/>
  <c r="K70" i="1"/>
  <c r="I70" i="1"/>
  <c r="N66" i="1"/>
  <c r="L66" i="1"/>
  <c r="K66" i="1"/>
  <c r="I66" i="1"/>
  <c r="N72" i="1"/>
  <c r="L72" i="1"/>
  <c r="K72" i="1"/>
  <c r="I72" i="1"/>
  <c r="N69" i="1"/>
  <c r="L69" i="1"/>
  <c r="K69" i="1"/>
  <c r="I69" i="1"/>
  <c r="P64" i="1"/>
  <c r="H64" i="1"/>
  <c r="L64" i="1" s="1"/>
  <c r="P63" i="1"/>
  <c r="H63" i="1"/>
  <c r="L63" i="1" s="1"/>
  <c r="N62" i="1"/>
  <c r="L62" i="1"/>
  <c r="K62" i="1"/>
  <c r="P58" i="1"/>
  <c r="H58" i="1"/>
  <c r="L58" i="1" s="1"/>
  <c r="P57" i="1"/>
  <c r="L57" i="1"/>
  <c r="I57" i="1"/>
  <c r="N56" i="1"/>
  <c r="L56" i="1"/>
  <c r="K56" i="1"/>
  <c r="I56" i="1"/>
  <c r="P55" i="1"/>
  <c r="L55" i="1"/>
  <c r="I55" i="1"/>
  <c r="N54" i="1"/>
  <c r="L54" i="1"/>
  <c r="K54" i="1"/>
  <c r="I54" i="1"/>
  <c r="N53" i="1"/>
  <c r="K53" i="1"/>
  <c r="H53" i="1"/>
  <c r="L53" i="1" s="1"/>
  <c r="N52" i="1"/>
  <c r="L52" i="1"/>
  <c r="K52" i="1"/>
  <c r="I52" i="1"/>
  <c r="N51" i="1"/>
  <c r="L51" i="1"/>
  <c r="K51" i="1"/>
  <c r="I51" i="1"/>
  <c r="P48" i="1"/>
  <c r="L48" i="1"/>
  <c r="I48" i="1"/>
  <c r="P47" i="1"/>
  <c r="L47" i="1"/>
  <c r="P46" i="1"/>
  <c r="L46" i="1"/>
  <c r="I46" i="1"/>
  <c r="L43" i="1"/>
  <c r="K43" i="1"/>
  <c r="P43" i="1" s="1"/>
  <c r="I43" i="1"/>
  <c r="N42" i="1"/>
  <c r="L42" i="1"/>
  <c r="I42" i="1"/>
  <c r="N41" i="1"/>
  <c r="L41" i="1"/>
  <c r="K41" i="1"/>
  <c r="I41" i="1"/>
  <c r="P40" i="1"/>
  <c r="L40" i="1"/>
  <c r="I40" i="1"/>
  <c r="P39" i="1"/>
  <c r="L39" i="1"/>
  <c r="I39" i="1"/>
  <c r="N38" i="1"/>
  <c r="L38" i="1"/>
  <c r="K38" i="1"/>
  <c r="I38" i="1"/>
  <c r="P37" i="1"/>
  <c r="L37" i="1"/>
  <c r="I37" i="1"/>
  <c r="N36" i="1"/>
  <c r="L36" i="1"/>
  <c r="K36" i="1"/>
  <c r="I36" i="1"/>
  <c r="N35" i="1"/>
  <c r="L35" i="1"/>
  <c r="K35" i="1"/>
  <c r="I35" i="1"/>
  <c r="P32" i="1"/>
  <c r="L32" i="1"/>
  <c r="I32" i="1"/>
  <c r="N31" i="1"/>
  <c r="L31" i="1"/>
  <c r="K31" i="1"/>
  <c r="I31" i="1"/>
  <c r="N28" i="1"/>
  <c r="L28" i="1"/>
  <c r="K28" i="1"/>
  <c r="I28" i="1"/>
  <c r="N27" i="1"/>
  <c r="L27" i="1"/>
  <c r="K27" i="1"/>
  <c r="I27" i="1"/>
  <c r="N26" i="1"/>
  <c r="L26" i="1"/>
  <c r="K26" i="1"/>
  <c r="I26" i="1"/>
  <c r="N20" i="1"/>
  <c r="L20" i="1"/>
  <c r="K20" i="1"/>
  <c r="I20" i="1"/>
  <c r="P19" i="1"/>
  <c r="L19" i="1"/>
  <c r="I19" i="1"/>
  <c r="N18" i="1"/>
  <c r="L18" i="1"/>
  <c r="K18" i="1"/>
  <c r="I18" i="1"/>
  <c r="P17" i="1"/>
  <c r="H17" i="1"/>
  <c r="L17" i="1" s="1"/>
  <c r="P16" i="1"/>
  <c r="L16" i="1"/>
  <c r="I16" i="1"/>
  <c r="P15" i="1"/>
  <c r="L15" i="1"/>
  <c r="I15" i="1"/>
  <c r="N14" i="1"/>
  <c r="L14" i="1"/>
  <c r="K14" i="1"/>
  <c r="I14" i="1"/>
  <c r="N13" i="1"/>
  <c r="P13" i="1" s="1"/>
  <c r="L13" i="1"/>
  <c r="I13" i="1"/>
  <c r="N12" i="1"/>
  <c r="L12" i="1"/>
  <c r="K12" i="1"/>
  <c r="I12" i="1"/>
  <c r="P11" i="1"/>
  <c r="L11" i="1"/>
  <c r="I11" i="1"/>
  <c r="P10" i="1"/>
  <c r="L10" i="1"/>
  <c r="I10" i="1"/>
  <c r="N9" i="1"/>
  <c r="L9" i="1"/>
  <c r="K9" i="1"/>
  <c r="I9" i="1"/>
  <c r="N8" i="1"/>
  <c r="K8" i="1"/>
  <c r="H8" i="1"/>
  <c r="L8" i="1" s="1"/>
  <c r="N7" i="1"/>
  <c r="L7" i="1"/>
  <c r="K7" i="1"/>
  <c r="I7" i="1"/>
  <c r="N6" i="1"/>
  <c r="L6" i="1"/>
  <c r="K6" i="1"/>
  <c r="I6" i="1"/>
  <c r="N5" i="1"/>
  <c r="L5" i="1"/>
  <c r="K5" i="1"/>
  <c r="I5" i="1"/>
  <c r="O70" i="2" l="1"/>
  <c r="O147" i="2"/>
  <c r="O150" i="2"/>
  <c r="O84" i="2"/>
  <c r="O190" i="2"/>
  <c r="P500" i="1"/>
  <c r="P601" i="1"/>
  <c r="O45" i="2"/>
  <c r="O653" i="1"/>
  <c r="O660" i="1"/>
  <c r="G210" i="2"/>
  <c r="O144" i="2"/>
  <c r="O69" i="2"/>
  <c r="O203" i="2"/>
  <c r="O110" i="2"/>
  <c r="P110" i="2" s="1"/>
  <c r="O151" i="2"/>
  <c r="O638" i="1"/>
  <c r="O657" i="1"/>
  <c r="O670" i="1"/>
  <c r="O83" i="2"/>
  <c r="P510" i="1"/>
  <c r="O559" i="1"/>
  <c r="P562" i="1"/>
  <c r="O191" i="2"/>
  <c r="O72" i="2"/>
  <c r="O130" i="2"/>
  <c r="P130" i="2" s="1"/>
  <c r="O473" i="1"/>
  <c r="O44" i="2"/>
  <c r="O128" i="2"/>
  <c r="O40" i="2"/>
  <c r="P40" i="2" s="1"/>
  <c r="P476" i="1"/>
  <c r="O535" i="1"/>
  <c r="P642" i="1"/>
  <c r="P446" i="1"/>
  <c r="P511" i="1"/>
  <c r="O515" i="1"/>
  <c r="Q515" i="1" s="1"/>
  <c r="O518" i="1"/>
  <c r="O552" i="1"/>
  <c r="O645" i="1"/>
  <c r="O89" i="1"/>
  <c r="P94" i="1"/>
  <c r="P123" i="1"/>
  <c r="O131" i="1"/>
  <c r="P137" i="1"/>
  <c r="P140" i="1"/>
  <c r="O145" i="1"/>
  <c r="O25" i="1"/>
  <c r="O162" i="1"/>
  <c r="O167" i="1"/>
  <c r="O183" i="1"/>
  <c r="O199" i="1"/>
  <c r="P205" i="1"/>
  <c r="P228" i="1"/>
  <c r="O280" i="1"/>
  <c r="P283" i="1"/>
  <c r="P286" i="1"/>
  <c r="P293" i="1"/>
  <c r="O324" i="1"/>
  <c r="P358" i="1"/>
  <c r="P359" i="1"/>
  <c r="P473" i="1"/>
  <c r="P486" i="1"/>
  <c r="O560" i="1"/>
  <c r="O494" i="1"/>
  <c r="O541" i="1"/>
  <c r="P394" i="1"/>
  <c r="O467" i="1"/>
  <c r="Q467" i="1" s="1"/>
  <c r="P303" i="1"/>
  <c r="O342" i="1"/>
  <c r="P350" i="1"/>
  <c r="O355" i="1"/>
  <c r="O361" i="1"/>
  <c r="P366" i="1"/>
  <c r="O424" i="1"/>
  <c r="P443" i="1"/>
  <c r="P502" i="1"/>
  <c r="O404" i="1"/>
  <c r="Q404" i="1" s="1"/>
  <c r="P507" i="1"/>
  <c r="P534" i="1"/>
  <c r="O38" i="1"/>
  <c r="P604" i="1"/>
  <c r="P244" i="1"/>
  <c r="P463" i="1"/>
  <c r="P5" i="1"/>
  <c r="O56" i="1"/>
  <c r="O508" i="1"/>
  <c r="P673" i="1"/>
  <c r="P563" i="1"/>
  <c r="P609" i="1"/>
  <c r="O422" i="1"/>
  <c r="O455" i="1"/>
  <c r="P470" i="1"/>
  <c r="P484" i="1"/>
  <c r="O502" i="1"/>
  <c r="O507" i="1"/>
  <c r="P519" i="1"/>
  <c r="O534" i="1"/>
  <c r="O539" i="1"/>
  <c r="P553" i="1"/>
  <c r="P569" i="1"/>
  <c r="P618" i="1"/>
  <c r="O626" i="1"/>
  <c r="P663" i="1"/>
  <c r="O619" i="1"/>
  <c r="O100" i="1"/>
  <c r="O486" i="1"/>
  <c r="O8" i="2"/>
  <c r="O46" i="2"/>
  <c r="P46" i="2" s="1"/>
  <c r="O71" i="2"/>
  <c r="O89" i="2"/>
  <c r="P89" i="2" s="1"/>
  <c r="P539" i="1"/>
  <c r="P626" i="1"/>
  <c r="P445" i="1"/>
  <c r="P298" i="1"/>
  <c r="O540" i="1"/>
  <c r="Q540" i="1" s="1"/>
  <c r="O37" i="2"/>
  <c r="O165" i="2"/>
  <c r="O200" i="2"/>
  <c r="O201" i="2"/>
  <c r="O209" i="2"/>
  <c r="O88" i="2"/>
  <c r="O124" i="2"/>
  <c r="O156" i="2"/>
  <c r="P156" i="2" s="1"/>
  <c r="O170" i="2"/>
  <c r="O175" i="2"/>
  <c r="P175" i="2" s="1"/>
  <c r="O108" i="2"/>
  <c r="O107" i="2"/>
  <c r="O93" i="2"/>
  <c r="P93" i="2" s="1"/>
  <c r="O50" i="2"/>
  <c r="O204" i="2"/>
  <c r="P204" i="2" s="1"/>
  <c r="O551" i="1"/>
  <c r="Q551" i="1" s="1"/>
  <c r="O86" i="1"/>
  <c r="Q86" i="1" s="1"/>
  <c r="P150" i="1"/>
  <c r="P154" i="1"/>
  <c r="P565" i="1"/>
  <c r="O392" i="1"/>
  <c r="P160" i="1"/>
  <c r="P586" i="1"/>
  <c r="P592" i="1"/>
  <c r="O604" i="1"/>
  <c r="O609" i="1"/>
  <c r="P614" i="1"/>
  <c r="P624" i="1"/>
  <c r="P655" i="1"/>
  <c r="O426" i="1"/>
  <c r="O163" i="1"/>
  <c r="O168" i="1"/>
  <c r="O278" i="1"/>
  <c r="O281" i="1"/>
  <c r="P284" i="1"/>
  <c r="P294" i="1"/>
  <c r="P297" i="1"/>
  <c r="P357" i="1"/>
  <c r="O386" i="1"/>
  <c r="Q386" i="1" s="1"/>
  <c r="P646" i="1"/>
  <c r="O655" i="1"/>
  <c r="P100" i="1"/>
  <c r="O110" i="1"/>
  <c r="O117" i="1"/>
  <c r="O121" i="1"/>
  <c r="P131" i="1"/>
  <c r="O668" i="1"/>
  <c r="Q668" i="1" s="1"/>
  <c r="O684" i="1"/>
  <c r="Q684" i="1" s="1"/>
  <c r="O704" i="1"/>
  <c r="Q704" i="1" s="1"/>
  <c r="O294" i="1"/>
  <c r="O297" i="1"/>
  <c r="P344" i="1"/>
  <c r="O357" i="1"/>
  <c r="P125" i="1"/>
  <c r="P287" i="1"/>
  <c r="P302" i="1"/>
  <c r="O312" i="1"/>
  <c r="Q312" i="1" s="1"/>
  <c r="O341" i="1"/>
  <c r="Q341" i="1" s="1"/>
  <c r="O353" i="1"/>
  <c r="Q353" i="1" s="1"/>
  <c r="P559" i="1"/>
  <c r="O201" i="1"/>
  <c r="P208" i="1"/>
  <c r="L587" i="1"/>
  <c r="I587" i="1"/>
  <c r="O82" i="2"/>
  <c r="O189" i="2"/>
  <c r="O114" i="2"/>
  <c r="P114" i="2" s="1"/>
  <c r="O9" i="2"/>
  <c r="P9" i="2" s="1"/>
  <c r="O105" i="2"/>
  <c r="P105" i="2" s="1"/>
  <c r="O12" i="1"/>
  <c r="P12" i="1"/>
  <c r="O35" i="1"/>
  <c r="P38" i="1"/>
  <c r="P56" i="1"/>
  <c r="O66" i="1"/>
  <c r="O73" i="1"/>
  <c r="P89" i="1"/>
  <c r="P280" i="1"/>
  <c r="P324" i="1"/>
  <c r="P422" i="1"/>
  <c r="P455" i="1"/>
  <c r="P21" i="1"/>
  <c r="P375" i="1"/>
  <c r="O716" i="1"/>
  <c r="Q716" i="1" s="1"/>
  <c r="P27" i="1"/>
  <c r="P41" i="1"/>
  <c r="P52" i="1"/>
  <c r="O113" i="1"/>
  <c r="Q113" i="1" s="1"/>
  <c r="O229" i="1"/>
  <c r="Q229" i="1" s="1"/>
  <c r="P252" i="1"/>
  <c r="P301" i="1"/>
  <c r="P304" i="1"/>
  <c r="P314" i="1"/>
  <c r="O343" i="1"/>
  <c r="Q343" i="1" s="1"/>
  <c r="P351" i="1"/>
  <c r="O374" i="1"/>
  <c r="Q374" i="1" s="1"/>
  <c r="O393" i="1"/>
  <c r="Q393" i="1" s="1"/>
  <c r="O428" i="1"/>
  <c r="Q428" i="1" s="1"/>
  <c r="P444" i="1"/>
  <c r="P447" i="1"/>
  <c r="P516" i="1"/>
  <c r="P145" i="1"/>
  <c r="P25" i="1"/>
  <c r="O158" i="1"/>
  <c r="P162" i="1"/>
  <c r="P167" i="1"/>
  <c r="P199" i="1"/>
  <c r="O87" i="1"/>
  <c r="P95" i="1"/>
  <c r="O102" i="1"/>
  <c r="P617" i="1"/>
  <c r="O167" i="2"/>
  <c r="P167" i="2" s="1"/>
  <c r="O176" i="2"/>
  <c r="P176" i="2" s="1"/>
  <c r="O94" i="2"/>
  <c r="P94" i="2" s="1"/>
  <c r="P448" i="1"/>
  <c r="O456" i="1"/>
  <c r="Q456" i="1" s="1"/>
  <c r="O599" i="1"/>
  <c r="P36" i="1"/>
  <c r="P54" i="1"/>
  <c r="P69" i="1"/>
  <c r="P70" i="1"/>
  <c r="P74" i="1"/>
  <c r="P71" i="1"/>
  <c r="O642" i="1"/>
  <c r="O242" i="1"/>
  <c r="O285" i="1"/>
  <c r="O575" i="1"/>
  <c r="Q575" i="1" s="1"/>
  <c r="O583" i="1"/>
  <c r="Q583" i="1" s="1"/>
  <c r="O666" i="1"/>
  <c r="Q666" i="1" s="1"/>
  <c r="P183" i="1"/>
  <c r="P574" i="1"/>
  <c r="P608" i="1"/>
  <c r="O617" i="1"/>
  <c r="P634" i="1"/>
  <c r="O663" i="1"/>
  <c r="P672" i="1"/>
  <c r="O687" i="1"/>
  <c r="Q687" i="1" s="1"/>
  <c r="O691" i="1"/>
  <c r="Q691" i="1" s="1"/>
  <c r="P138" i="1"/>
  <c r="O673" i="1"/>
  <c r="P249" i="1"/>
  <c r="P719" i="1"/>
  <c r="P450" i="1"/>
  <c r="P464" i="1"/>
  <c r="P475" i="1"/>
  <c r="P488" i="1"/>
  <c r="P8" i="1"/>
  <c r="P425" i="1"/>
  <c r="O6" i="1"/>
  <c r="P28" i="1"/>
  <c r="O284" i="1"/>
  <c r="P9" i="1"/>
  <c r="P20" i="1"/>
  <c r="O39" i="1"/>
  <c r="Q39" i="1" s="1"/>
  <c r="O57" i="1"/>
  <c r="Q57" i="1" s="1"/>
  <c r="O90" i="1"/>
  <c r="Q90" i="1" s="1"/>
  <c r="P152" i="1"/>
  <c r="P215" i="1"/>
  <c r="O439" i="1"/>
  <c r="Q439" i="1" s="1"/>
  <c r="P517" i="1"/>
  <c r="P225" i="1"/>
  <c r="P449" i="1"/>
  <c r="O188" i="1"/>
  <c r="Q188" i="1" s="1"/>
  <c r="P214" i="1"/>
  <c r="O240" i="1"/>
  <c r="Q240" i="1" s="1"/>
  <c r="O277" i="1"/>
  <c r="Q277" i="1" s="1"/>
  <c r="P296" i="1"/>
  <c r="O311" i="1"/>
  <c r="Q311" i="1" s="1"/>
  <c r="O340" i="1"/>
  <c r="Q340" i="1" s="1"/>
  <c r="O370" i="1"/>
  <c r="Q370" i="1" s="1"/>
  <c r="O402" i="1"/>
  <c r="Q402" i="1" s="1"/>
  <c r="O409" i="1"/>
  <c r="Q409" i="1" s="1"/>
  <c r="P326" i="1"/>
  <c r="O550" i="1"/>
  <c r="Q550" i="1" s="1"/>
  <c r="O581" i="1"/>
  <c r="Q581" i="1" s="1"/>
  <c r="O598" i="1"/>
  <c r="Q598" i="1" s="1"/>
  <c r="O723" i="1"/>
  <c r="Q723" i="1" s="1"/>
  <c r="P119" i="1"/>
  <c r="O7" i="1"/>
  <c r="O14" i="1"/>
  <c r="O18" i="1"/>
  <c r="P26" i="1"/>
  <c r="P31" i="1"/>
  <c r="P51" i="1"/>
  <c r="O93" i="1"/>
  <c r="O136" i="1"/>
  <c r="O139" i="1"/>
  <c r="O149" i="1"/>
  <c r="Q149" i="1" s="1"/>
  <c r="P176" i="1"/>
  <c r="P605" i="1"/>
  <c r="P561" i="1"/>
  <c r="O212" i="1"/>
  <c r="P237" i="1"/>
  <c r="P254" i="1"/>
  <c r="O469" i="1"/>
  <c r="P474" i="1"/>
  <c r="P42" i="1"/>
  <c r="O95" i="1"/>
  <c r="P114" i="1"/>
  <c r="O125" i="1"/>
  <c r="O152" i="1"/>
  <c r="P175" i="1"/>
  <c r="O215" i="1"/>
  <c r="O237" i="1"/>
  <c r="O13" i="1"/>
  <c r="Q13" i="1" s="1"/>
  <c r="O146" i="1"/>
  <c r="Q146" i="1" s="1"/>
  <c r="O185" i="1"/>
  <c r="Q185" i="1" s="1"/>
  <c r="O189" i="1"/>
  <c r="Q189" i="1" s="1"/>
  <c r="O200" i="1"/>
  <c r="Q200" i="1" s="1"/>
  <c r="O241" i="1"/>
  <c r="Q241" i="1" s="1"/>
  <c r="O262" i="1"/>
  <c r="Q262" i="1" s="1"/>
  <c r="P360" i="1"/>
  <c r="O423" i="1"/>
  <c r="Q423" i="1" s="1"/>
  <c r="O503" i="1"/>
  <c r="Q503" i="1" s="1"/>
  <c r="O514" i="1"/>
  <c r="Q514" i="1" s="1"/>
  <c r="O582" i="1"/>
  <c r="Q582" i="1" s="1"/>
  <c r="P620" i="1"/>
  <c r="O635" i="1"/>
  <c r="Q635" i="1" s="1"/>
  <c r="O656" i="1"/>
  <c r="Q656" i="1" s="1"/>
  <c r="O669" i="1"/>
  <c r="Q669" i="1" s="1"/>
  <c r="O688" i="1"/>
  <c r="Q688" i="1" s="1"/>
  <c r="P395" i="1"/>
  <c r="P62" i="1"/>
  <c r="P72" i="1"/>
  <c r="P67" i="1"/>
  <c r="P65" i="1"/>
  <c r="P107" i="1"/>
  <c r="P116" i="1"/>
  <c r="P120" i="1"/>
  <c r="P248" i="1"/>
  <c r="P270" i="1"/>
  <c r="P276" i="1"/>
  <c r="P317" i="1"/>
  <c r="P339" i="1"/>
  <c r="P384" i="1"/>
  <c r="P420" i="1"/>
  <c r="P431" i="1"/>
  <c r="P478" i="1"/>
  <c r="P481" i="1"/>
  <c r="P492" i="1"/>
  <c r="P549" i="1"/>
  <c r="P587" i="1"/>
  <c r="P597" i="1"/>
  <c r="P623" i="1"/>
  <c r="P625" i="1"/>
  <c r="P651" i="1"/>
  <c r="O52" i="2"/>
  <c r="P52" i="2" s="1"/>
  <c r="O149" i="2"/>
  <c r="P149" i="2" s="1"/>
  <c r="O39" i="2"/>
  <c r="O109" i="2"/>
  <c r="P109" i="2" s="1"/>
  <c r="O148" i="2"/>
  <c r="P148" i="2" s="1"/>
  <c r="O179" i="2"/>
  <c r="P179" i="2" s="1"/>
  <c r="O138" i="1"/>
  <c r="O23" i="1"/>
  <c r="O700" i="1"/>
  <c r="Q700" i="1" s="1"/>
  <c r="O678" i="1"/>
  <c r="Q678" i="1" s="1"/>
  <c r="O546" i="1"/>
  <c r="Q546" i="1" s="1"/>
  <c r="O603" i="1"/>
  <c r="Q603" i="1" s="1"/>
  <c r="O705" i="1"/>
  <c r="Q705" i="1" s="1"/>
  <c r="O213" i="1"/>
  <c r="O692" i="1"/>
  <c r="Q692" i="1" s="1"/>
  <c r="O372" i="1"/>
  <c r="Q372" i="1" s="1"/>
  <c r="O417" i="1"/>
  <c r="Q417" i="1" s="1"/>
  <c r="O427" i="1"/>
  <c r="Q427" i="1" s="1"/>
  <c r="O485" i="1"/>
  <c r="Q485" i="1" s="1"/>
  <c r="O506" i="1"/>
  <c r="Q506" i="1" s="1"/>
  <c r="O5" i="1"/>
  <c r="O15" i="1"/>
  <c r="Q15" i="1" s="1"/>
  <c r="O19" i="1"/>
  <c r="Q19" i="1" s="1"/>
  <c r="O94" i="1"/>
  <c r="O123" i="1"/>
  <c r="O137" i="1"/>
  <c r="O140" i="1"/>
  <c r="O172" i="1"/>
  <c r="Q172" i="1" s="1"/>
  <c r="O205" i="1"/>
  <c r="O228" i="1"/>
  <c r="O244" i="1"/>
  <c r="O283" i="1"/>
  <c r="O286" i="1"/>
  <c r="O293" i="1"/>
  <c r="O358" i="1"/>
  <c r="O359" i="1"/>
  <c r="O470" i="1"/>
  <c r="O484" i="1"/>
  <c r="O509" i="1"/>
  <c r="Q509" i="1" s="1"/>
  <c r="O519" i="1"/>
  <c r="O542" i="1"/>
  <c r="Q542" i="1" s="1"/>
  <c r="O553" i="1"/>
  <c r="O569" i="1"/>
  <c r="O571" i="1"/>
  <c r="Q571" i="1" s="1"/>
  <c r="O601" i="1"/>
  <c r="O618" i="1"/>
  <c r="O639" i="1"/>
  <c r="Q639" i="1" s="1"/>
  <c r="O646" i="1"/>
  <c r="O658" i="1"/>
  <c r="Q658" i="1" s="1"/>
  <c r="O671" i="1"/>
  <c r="Q671" i="1" s="1"/>
  <c r="O180" i="1"/>
  <c r="O194" i="1"/>
  <c r="O224" i="1"/>
  <c r="O251" i="1"/>
  <c r="O268" i="1"/>
  <c r="O272" i="1"/>
  <c r="O315" i="1"/>
  <c r="O318" i="1"/>
  <c r="O479" i="1"/>
  <c r="O482" i="1"/>
  <c r="O577" i="1"/>
  <c r="O585" i="1"/>
  <c r="O612" i="1"/>
  <c r="O627" i="1"/>
  <c r="O644" i="1"/>
  <c r="O675" i="1"/>
  <c r="O10" i="1"/>
  <c r="Q10" i="1" s="1"/>
  <c r="O707" i="1"/>
  <c r="Q707" i="1" s="1"/>
  <c r="O47" i="1"/>
  <c r="Q47" i="1" s="1"/>
  <c r="O84" i="1"/>
  <c r="Q84" i="1" s="1"/>
  <c r="O104" i="1"/>
  <c r="Q104" i="1" s="1"/>
  <c r="O148" i="1"/>
  <c r="Q148" i="1" s="1"/>
  <c r="O260" i="1"/>
  <c r="Q260" i="1" s="1"/>
  <c r="O266" i="1"/>
  <c r="Q266" i="1" s="1"/>
  <c r="O331" i="1"/>
  <c r="Q331" i="1" s="1"/>
  <c r="O348" i="1"/>
  <c r="Q348" i="1" s="1"/>
  <c r="O413" i="1"/>
  <c r="Q413" i="1" s="1"/>
  <c r="O441" i="1"/>
  <c r="Q441" i="1" s="1"/>
  <c r="O529" i="1"/>
  <c r="Q529" i="1" s="1"/>
  <c r="O591" i="1"/>
  <c r="Q591" i="1" s="1"/>
  <c r="O594" i="1"/>
  <c r="Q594" i="1" s="1"/>
  <c r="O616" i="1"/>
  <c r="Q616" i="1" s="1"/>
  <c r="O662" i="1"/>
  <c r="Q662" i="1" s="1"/>
  <c r="O683" i="1"/>
  <c r="Q683" i="1" s="1"/>
  <c r="O699" i="1"/>
  <c r="Q699" i="1" s="1"/>
  <c r="O574" i="1"/>
  <c r="O483" i="1"/>
  <c r="Q483" i="1" s="1"/>
  <c r="O26" i="1"/>
  <c r="O31" i="1"/>
  <c r="O43" i="1"/>
  <c r="Q43" i="1" s="1"/>
  <c r="O51" i="1"/>
  <c r="O122" i="1"/>
  <c r="O176" i="1"/>
  <c r="O208" i="1"/>
  <c r="O249" i="1"/>
  <c r="O303" i="1"/>
  <c r="O395" i="1"/>
  <c r="O40" i="1"/>
  <c r="Q40" i="1" s="1"/>
  <c r="O126" i="1"/>
  <c r="Q126" i="1" s="1"/>
  <c r="O153" i="1"/>
  <c r="Q153" i="1" s="1"/>
  <c r="O186" i="1"/>
  <c r="Q186" i="1" s="1"/>
  <c r="O190" i="1"/>
  <c r="Q190" i="1" s="1"/>
  <c r="O216" i="1"/>
  <c r="Q216" i="1" s="1"/>
  <c r="O238" i="1"/>
  <c r="Q238" i="1" s="1"/>
  <c r="O263" i="1"/>
  <c r="Q263" i="1" s="1"/>
  <c r="O313" i="1"/>
  <c r="Q313" i="1" s="1"/>
  <c r="O405" i="1"/>
  <c r="Q405" i="1" s="1"/>
  <c r="O457" i="1"/>
  <c r="Q457" i="1" s="1"/>
  <c r="O487" i="1"/>
  <c r="Q487" i="1" s="1"/>
  <c r="O504" i="1"/>
  <c r="Q504" i="1" s="1"/>
  <c r="O568" i="1"/>
  <c r="Q568" i="1" s="1"/>
  <c r="O27" i="1"/>
  <c r="O32" i="1"/>
  <c r="Q32" i="1" s="1"/>
  <c r="O41" i="1"/>
  <c r="O52" i="1"/>
  <c r="O150" i="1"/>
  <c r="O154" i="1"/>
  <c r="O157" i="1"/>
  <c r="Q157" i="1" s="1"/>
  <c r="O179" i="1"/>
  <c r="Q179" i="1" s="1"/>
  <c r="O187" i="1"/>
  <c r="Q187" i="1" s="1"/>
  <c r="O191" i="1"/>
  <c r="Q191" i="1" s="1"/>
  <c r="O211" i="1"/>
  <c r="Q211" i="1" s="1"/>
  <c r="O223" i="1"/>
  <c r="Q223" i="1" s="1"/>
  <c r="O239" i="1"/>
  <c r="Q239" i="1" s="1"/>
  <c r="O252" i="1"/>
  <c r="O267" i="1"/>
  <c r="Q267" i="1" s="1"/>
  <c r="O301" i="1"/>
  <c r="O351" i="1"/>
  <c r="O368" i="1"/>
  <c r="Q368" i="1" s="1"/>
  <c r="O381" i="1"/>
  <c r="O396" i="1"/>
  <c r="Q396" i="1" s="1"/>
  <c r="O408" i="1"/>
  <c r="Q408" i="1" s="1"/>
  <c r="O444" i="1"/>
  <c r="O447" i="1"/>
  <c r="O450" i="1"/>
  <c r="O458" i="1"/>
  <c r="Q458" i="1" s="1"/>
  <c r="O464" i="1"/>
  <c r="O475" i="1"/>
  <c r="O488" i="1"/>
  <c r="O512" i="1"/>
  <c r="Q512" i="1" s="1"/>
  <c r="O516" i="1"/>
  <c r="O565" i="1"/>
  <c r="O576" i="1"/>
  <c r="Q576" i="1" s="1"/>
  <c r="O580" i="1"/>
  <c r="Q580" i="1" s="1"/>
  <c r="O584" i="1"/>
  <c r="Q584" i="1" s="1"/>
  <c r="O605" i="1"/>
  <c r="O610" i="1"/>
  <c r="Q610" i="1" s="1"/>
  <c r="O643" i="1"/>
  <c r="Q643" i="1" s="1"/>
  <c r="O667" i="1"/>
  <c r="Q667" i="1" s="1"/>
  <c r="O674" i="1"/>
  <c r="Q674" i="1" s="1"/>
  <c r="O679" i="1"/>
  <c r="Q679" i="1" s="1"/>
  <c r="O696" i="1"/>
  <c r="Q696" i="1" s="1"/>
  <c r="O708" i="1"/>
  <c r="Q708" i="1" s="1"/>
  <c r="O722" i="1"/>
  <c r="Q722" i="1" s="1"/>
  <c r="P45" i="3"/>
  <c r="O9" i="1"/>
  <c r="O16" i="1"/>
  <c r="Q16" i="1" s="1"/>
  <c r="O20" i="1"/>
  <c r="O28" i="1"/>
  <c r="P35" i="1"/>
  <c r="O42" i="1"/>
  <c r="P66" i="1"/>
  <c r="P73" i="1"/>
  <c r="P110" i="1"/>
  <c r="O114" i="1"/>
  <c r="P117" i="1"/>
  <c r="P121" i="1"/>
  <c r="O151" i="1"/>
  <c r="Q151" i="1" s="1"/>
  <c r="O155" i="1"/>
  <c r="Q155" i="1" s="1"/>
  <c r="P158" i="1"/>
  <c r="O175" i="1"/>
  <c r="P180" i="1"/>
  <c r="P194" i="1"/>
  <c r="P212" i="1"/>
  <c r="P224" i="1"/>
  <c r="O230" i="1"/>
  <c r="Q230" i="1" s="1"/>
  <c r="P251" i="1"/>
  <c r="P268" i="1"/>
  <c r="P272" i="1"/>
  <c r="P315" i="1"/>
  <c r="P318" i="1"/>
  <c r="O344" i="1"/>
  <c r="O382" i="1"/>
  <c r="P385" i="1"/>
  <c r="O394" i="1"/>
  <c r="O429" i="1"/>
  <c r="Q429" i="1" s="1"/>
  <c r="O445" i="1"/>
  <c r="O448" i="1"/>
  <c r="O451" i="1"/>
  <c r="Q451" i="1" s="1"/>
  <c r="O476" i="1"/>
  <c r="P479" i="1"/>
  <c r="P482" i="1"/>
  <c r="O490" i="1"/>
  <c r="Q490" i="1" s="1"/>
  <c r="P493" i="1"/>
  <c r="O510" i="1"/>
  <c r="O543" i="1"/>
  <c r="Q543" i="1" s="1"/>
  <c r="O562" i="1"/>
  <c r="O566" i="1"/>
  <c r="Q566" i="1" s="1"/>
  <c r="P577" i="1"/>
  <c r="P585" i="1"/>
  <c r="O608" i="1"/>
  <c r="P612" i="1"/>
  <c r="P627" i="1"/>
  <c r="O634" i="1"/>
  <c r="P644" i="1"/>
  <c r="P652" i="1"/>
  <c r="O672" i="1"/>
  <c r="P675" i="1"/>
  <c r="O7" i="2"/>
  <c r="O10" i="2"/>
  <c r="P10" i="2" s="1"/>
  <c r="P464" i="3"/>
  <c r="P341" i="3"/>
  <c r="O48" i="1"/>
  <c r="Q48" i="1" s="1"/>
  <c r="P53" i="1"/>
  <c r="O85" i="1"/>
  <c r="Q85" i="1" s="1"/>
  <c r="P68" i="1"/>
  <c r="O105" i="1"/>
  <c r="Q105" i="1" s="1"/>
  <c r="O141" i="1"/>
  <c r="Q141" i="1" s="1"/>
  <c r="O207" i="1"/>
  <c r="Q207" i="1" s="1"/>
  <c r="O246" i="1"/>
  <c r="Q246" i="1" s="1"/>
  <c r="P253" i="1"/>
  <c r="O261" i="1"/>
  <c r="Q261" i="1" s="1"/>
  <c r="O333" i="1"/>
  <c r="Q333" i="1" s="1"/>
  <c r="O349" i="1"/>
  <c r="Q349" i="1" s="1"/>
  <c r="O415" i="1"/>
  <c r="Q415" i="1" s="1"/>
  <c r="O419" i="1"/>
  <c r="Q419" i="1" s="1"/>
  <c r="O442" i="1"/>
  <c r="Q442" i="1" s="1"/>
  <c r="O462" i="1"/>
  <c r="Q462" i="1" s="1"/>
  <c r="O526" i="1"/>
  <c r="Q526" i="1" s="1"/>
  <c r="O531" i="1"/>
  <c r="Q531" i="1" s="1"/>
  <c r="O621" i="1"/>
  <c r="Q621" i="1" s="1"/>
  <c r="O649" i="1"/>
  <c r="Q649" i="1" s="1"/>
  <c r="O41" i="2"/>
  <c r="P41" i="2" s="1"/>
  <c r="O121" i="2"/>
  <c r="P121" i="2" s="1"/>
  <c r="O155" i="2"/>
  <c r="P155" i="2" s="1"/>
  <c r="P454" i="3"/>
  <c r="P338" i="3"/>
  <c r="P43" i="3"/>
  <c r="O325" i="1"/>
  <c r="P426" i="1"/>
  <c r="P239" i="3"/>
  <c r="P218" i="3"/>
  <c r="P403" i="3"/>
  <c r="P6" i="1"/>
  <c r="O36" i="1"/>
  <c r="O54" i="1"/>
  <c r="O69" i="1"/>
  <c r="O70" i="1"/>
  <c r="O74" i="1"/>
  <c r="O71" i="1"/>
  <c r="P87" i="1"/>
  <c r="P102" i="1"/>
  <c r="O111" i="1"/>
  <c r="Q111" i="1" s="1"/>
  <c r="O119" i="1"/>
  <c r="P135" i="1"/>
  <c r="Q135" i="1" s="1"/>
  <c r="O144" i="1"/>
  <c r="Q144" i="1" s="1"/>
  <c r="O21" i="1"/>
  <c r="P23" i="1"/>
  <c r="O160" i="1"/>
  <c r="P163" i="1"/>
  <c r="P168" i="1"/>
  <c r="O181" i="1"/>
  <c r="Q181" i="1" s="1"/>
  <c r="O195" i="1"/>
  <c r="Q195" i="1" s="1"/>
  <c r="O225" i="1"/>
  <c r="O231" i="1"/>
  <c r="Q231" i="1" s="1"/>
  <c r="O254" i="1"/>
  <c r="O269" i="1"/>
  <c r="O273" i="1"/>
  <c r="P278" i="1"/>
  <c r="P281" i="1"/>
  <c r="O316" i="1"/>
  <c r="P325" i="1"/>
  <c r="O371" i="1"/>
  <c r="Q371" i="1" s="1"/>
  <c r="O453" i="1"/>
  <c r="O480" i="1"/>
  <c r="O491" i="1"/>
  <c r="P494" i="1"/>
  <c r="P508" i="1"/>
  <c r="P535" i="1"/>
  <c r="O544" i="1"/>
  <c r="O567" i="1"/>
  <c r="Q567" i="1" s="1"/>
  <c r="O572" i="1"/>
  <c r="Q572" i="1" s="1"/>
  <c r="O578" i="1"/>
  <c r="Q578" i="1" s="1"/>
  <c r="O586" i="1"/>
  <c r="O592" i="1"/>
  <c r="P599" i="1"/>
  <c r="O614" i="1"/>
  <c r="O624" i="1"/>
  <c r="P653" i="1"/>
  <c r="P660" i="1"/>
  <c r="O169" i="2"/>
  <c r="O206" i="2"/>
  <c r="P211" i="3"/>
  <c r="P437" i="3"/>
  <c r="P44" i="3"/>
  <c r="O77" i="1"/>
  <c r="Q77" i="1" s="1"/>
  <c r="O106" i="1"/>
  <c r="Q106" i="1" s="1"/>
  <c r="O115" i="1"/>
  <c r="Q115" i="1" s="1"/>
  <c r="O142" i="1"/>
  <c r="Q142" i="1" s="1"/>
  <c r="O247" i="1"/>
  <c r="Q247" i="1" s="1"/>
  <c r="O264" i="1"/>
  <c r="Q264" i="1" s="1"/>
  <c r="P269" i="1"/>
  <c r="P273" i="1"/>
  <c r="O288" i="1"/>
  <c r="Q288" i="1" s="1"/>
  <c r="P316" i="1"/>
  <c r="O337" i="1"/>
  <c r="Q337" i="1" s="1"/>
  <c r="O345" i="1"/>
  <c r="Q345" i="1" s="1"/>
  <c r="O350" i="1"/>
  <c r="O366" i="1"/>
  <c r="O375" i="1"/>
  <c r="O383" i="1"/>
  <c r="Q383" i="1" s="1"/>
  <c r="O411" i="1"/>
  <c r="Q411" i="1" s="1"/>
  <c r="P430" i="1"/>
  <c r="O443" i="1"/>
  <c r="O446" i="1"/>
  <c r="O449" i="1"/>
  <c r="P453" i="1"/>
  <c r="O463" i="1"/>
  <c r="O477" i="1"/>
  <c r="Q477" i="1" s="1"/>
  <c r="P480" i="1"/>
  <c r="P491" i="1"/>
  <c r="O511" i="1"/>
  <c r="O527" i="1"/>
  <c r="Q527" i="1" s="1"/>
  <c r="O532" i="1"/>
  <c r="Q532" i="1" s="1"/>
  <c r="P544" i="1"/>
  <c r="O548" i="1"/>
  <c r="Q548" i="1" s="1"/>
  <c r="O563" i="1"/>
  <c r="O596" i="1"/>
  <c r="Q596" i="1" s="1"/>
  <c r="O622" i="1"/>
  <c r="Q622" i="1" s="1"/>
  <c r="O650" i="1"/>
  <c r="Q650" i="1" s="1"/>
  <c r="O703" i="1"/>
  <c r="Q703" i="1" s="1"/>
  <c r="O719" i="1"/>
  <c r="O73" i="2"/>
  <c r="P73" i="2" s="1"/>
  <c r="O90" i="2"/>
  <c r="P90" i="2" s="1"/>
  <c r="O106" i="2"/>
  <c r="P106" i="2" s="1"/>
  <c r="O122" i="2"/>
  <c r="P122" i="2" s="1"/>
  <c r="O129" i="2"/>
  <c r="P129" i="2" s="1"/>
  <c r="O215" i="2"/>
  <c r="P215" i="2" s="1"/>
  <c r="P160" i="3"/>
  <c r="P487" i="3"/>
  <c r="P37" i="3"/>
  <c r="P185" i="3"/>
  <c r="P122" i="1"/>
  <c r="P213" i="1"/>
  <c r="O295" i="1"/>
  <c r="P303" i="3"/>
  <c r="P7" i="1"/>
  <c r="P14" i="1"/>
  <c r="P18" i="1"/>
  <c r="O88" i="1"/>
  <c r="P93" i="1"/>
  <c r="O99" i="1"/>
  <c r="O103" i="1"/>
  <c r="O112" i="1"/>
  <c r="Q112" i="1" s="1"/>
  <c r="P136" i="1"/>
  <c r="P139" i="1"/>
  <c r="O147" i="1"/>
  <c r="O164" i="1"/>
  <c r="O171" i="1"/>
  <c r="Q171" i="1" s="1"/>
  <c r="O182" i="1"/>
  <c r="O198" i="1"/>
  <c r="P201" i="1"/>
  <c r="P242" i="1"/>
  <c r="O279" i="1"/>
  <c r="P285" i="1"/>
  <c r="P295" i="1"/>
  <c r="P342" i="1"/>
  <c r="P355" i="1"/>
  <c r="P361" i="1"/>
  <c r="P392" i="1"/>
  <c r="P424" i="1"/>
  <c r="O440" i="1"/>
  <c r="P469" i="1"/>
  <c r="O500" i="1"/>
  <c r="P518" i="1"/>
  <c r="O538" i="1"/>
  <c r="P541" i="1"/>
  <c r="P552" i="1"/>
  <c r="P560" i="1"/>
  <c r="O573" i="1"/>
  <c r="Q573" i="1" s="1"/>
  <c r="O600" i="1"/>
  <c r="Q600" i="1" s="1"/>
  <c r="P619" i="1"/>
  <c r="P638" i="1"/>
  <c r="P645" i="1"/>
  <c r="O654" i="1"/>
  <c r="P657" i="1"/>
  <c r="O661" i="1"/>
  <c r="P670" i="1"/>
  <c r="O202" i="2"/>
  <c r="O216" i="2"/>
  <c r="P216" i="2" s="1"/>
  <c r="P327" i="3"/>
  <c r="P27" i="3"/>
  <c r="P375" i="3"/>
  <c r="O11" i="1"/>
  <c r="Q11" i="1" s="1"/>
  <c r="O37" i="1"/>
  <c r="Q37" i="1" s="1"/>
  <c r="O46" i="1"/>
  <c r="Q46" i="1" s="1"/>
  <c r="O55" i="1"/>
  <c r="Q55" i="1" s="1"/>
  <c r="O62" i="1"/>
  <c r="O72" i="1"/>
  <c r="O67" i="1"/>
  <c r="O76" i="1"/>
  <c r="Q76" i="1" s="1"/>
  <c r="O78" i="1"/>
  <c r="Q78" i="1" s="1"/>
  <c r="O65" i="1"/>
  <c r="P88" i="1"/>
  <c r="P99" i="1"/>
  <c r="P103" i="1"/>
  <c r="O107" i="1"/>
  <c r="O116" i="1"/>
  <c r="O120" i="1"/>
  <c r="O143" i="1"/>
  <c r="Q143" i="1" s="1"/>
  <c r="P147" i="1"/>
  <c r="O22" i="1"/>
  <c r="Q22" i="1" s="1"/>
  <c r="O161" i="1"/>
  <c r="Q161" i="1" s="1"/>
  <c r="P164" i="1"/>
  <c r="P182" i="1"/>
  <c r="P198" i="1"/>
  <c r="P227" i="1"/>
  <c r="O248" i="1"/>
  <c r="O259" i="1"/>
  <c r="Q259" i="1" s="1"/>
  <c r="O265" i="1"/>
  <c r="Q265" i="1" s="1"/>
  <c r="O270" i="1"/>
  <c r="O276" i="1"/>
  <c r="P279" i="1"/>
  <c r="P282" i="1"/>
  <c r="O317" i="1"/>
  <c r="O323" i="1"/>
  <c r="Q323" i="1" s="1"/>
  <c r="O330" i="1"/>
  <c r="Q330" i="1" s="1"/>
  <c r="O339" i="1"/>
  <c r="O347" i="1"/>
  <c r="Q347" i="1" s="1"/>
  <c r="O384" i="1"/>
  <c r="O412" i="1"/>
  <c r="Q412" i="1" s="1"/>
  <c r="O431" i="1"/>
  <c r="P440" i="1"/>
  <c r="O454" i="1"/>
  <c r="Q454" i="1" s="1"/>
  <c r="O478" i="1"/>
  <c r="O481" i="1"/>
  <c r="O492" i="1"/>
  <c r="O528" i="1"/>
  <c r="Q528" i="1" s="1"/>
  <c r="O533" i="1"/>
  <c r="Q533" i="1" s="1"/>
  <c r="P538" i="1"/>
  <c r="O545" i="1"/>
  <c r="Q545" i="1" s="1"/>
  <c r="O549" i="1"/>
  <c r="O593" i="1"/>
  <c r="Q593" i="1" s="1"/>
  <c r="O597" i="1"/>
  <c r="O615" i="1"/>
  <c r="Q615" i="1" s="1"/>
  <c r="O623" i="1"/>
  <c r="O651" i="1"/>
  <c r="P654" i="1"/>
  <c r="P661" i="1"/>
  <c r="O695" i="1"/>
  <c r="Q695" i="1" s="1"/>
  <c r="O715" i="1"/>
  <c r="Q715" i="1" s="1"/>
  <c r="O47" i="2"/>
  <c r="P47" i="2" s="1"/>
  <c r="O91" i="2"/>
  <c r="O116" i="2"/>
  <c r="O123" i="2"/>
  <c r="O127" i="2"/>
  <c r="O199" i="2"/>
  <c r="P199" i="2" s="1"/>
  <c r="O205" i="2"/>
  <c r="P223" i="3"/>
  <c r="N5" i="2"/>
  <c r="P5" i="2" s="1"/>
  <c r="G5" i="2"/>
  <c r="N6" i="2"/>
  <c r="P6" i="2" s="1"/>
  <c r="G6" i="2"/>
  <c r="N7" i="2"/>
  <c r="G7" i="2"/>
  <c r="N8" i="2"/>
  <c r="G8" i="2"/>
  <c r="N25" i="2"/>
  <c r="P25" i="2" s="1"/>
  <c r="G25" i="2"/>
  <c r="N26" i="2"/>
  <c r="P26" i="2" s="1"/>
  <c r="G26" i="2"/>
  <c r="N27" i="2"/>
  <c r="P27" i="2" s="1"/>
  <c r="G27" i="2"/>
  <c r="N28" i="2"/>
  <c r="P28" i="2" s="1"/>
  <c r="G28" i="2"/>
  <c r="N29" i="2"/>
  <c r="P29" i="2" s="1"/>
  <c r="N36" i="2"/>
  <c r="P36" i="2" s="1"/>
  <c r="G36" i="2"/>
  <c r="N37" i="2"/>
  <c r="G37" i="2"/>
  <c r="N38" i="2"/>
  <c r="P38" i="2" s="1"/>
  <c r="G38" i="2"/>
  <c r="N39" i="2"/>
  <c r="G39" i="2"/>
  <c r="N42" i="2"/>
  <c r="P42" i="2" s="1"/>
  <c r="G42" i="2"/>
  <c r="N43" i="2"/>
  <c r="P43" i="2" s="1"/>
  <c r="G43" i="2"/>
  <c r="N44" i="2"/>
  <c r="G44" i="2"/>
  <c r="N45" i="2"/>
  <c r="P45" i="2" s="1"/>
  <c r="G45" i="2"/>
  <c r="N48" i="2"/>
  <c r="P48" i="2" s="1"/>
  <c r="G48" i="2"/>
  <c r="N49" i="2"/>
  <c r="P49" i="2" s="1"/>
  <c r="G49" i="2"/>
  <c r="N50" i="2"/>
  <c r="G50" i="2"/>
  <c r="N51" i="2"/>
  <c r="P51" i="2" s="1"/>
  <c r="G51" i="2"/>
  <c r="N59" i="2"/>
  <c r="P59" i="2" s="1"/>
  <c r="G59" i="2"/>
  <c r="N60" i="2"/>
  <c r="P60" i="2" s="1"/>
  <c r="G60" i="2"/>
  <c r="N61" i="2"/>
  <c r="P61" i="2" s="1"/>
  <c r="G61" i="2"/>
  <c r="N62" i="2"/>
  <c r="P62" i="2" s="1"/>
  <c r="G62" i="2"/>
  <c r="N69" i="2"/>
  <c r="P69" i="2" s="1"/>
  <c r="G69" i="2"/>
  <c r="N70" i="2"/>
  <c r="G70" i="2"/>
  <c r="N71" i="2"/>
  <c r="G71" i="2"/>
  <c r="N72" i="2"/>
  <c r="G72" i="2"/>
  <c r="N79" i="2"/>
  <c r="P79" i="2" s="1"/>
  <c r="G79" i="2"/>
  <c r="N80" i="2"/>
  <c r="P80" i="2" s="1"/>
  <c r="G80" i="2"/>
  <c r="N81" i="2"/>
  <c r="P81" i="2" s="1"/>
  <c r="G81" i="2"/>
  <c r="N87" i="2"/>
  <c r="P87" i="2" s="1"/>
  <c r="G87" i="2"/>
  <c r="N88" i="2"/>
  <c r="G88" i="2"/>
  <c r="N91" i="2"/>
  <c r="G91" i="2"/>
  <c r="P97" i="2"/>
  <c r="P98" i="2"/>
  <c r="N95" i="2"/>
  <c r="P95" i="2" s="1"/>
  <c r="G95" i="2"/>
  <c r="N96" i="2"/>
  <c r="P96" i="2" s="1"/>
  <c r="G96" i="2"/>
  <c r="N103" i="2"/>
  <c r="P103" i="2" s="1"/>
  <c r="G103" i="2"/>
  <c r="N104" i="2"/>
  <c r="P104" i="2" s="1"/>
  <c r="G104" i="2"/>
  <c r="N111" i="2"/>
  <c r="P111" i="2" s="1"/>
  <c r="G111" i="2"/>
  <c r="N112" i="2"/>
  <c r="P112" i="2" s="1"/>
  <c r="G112" i="2"/>
  <c r="N116" i="2"/>
  <c r="G116" i="2"/>
  <c r="N123" i="2"/>
  <c r="G123" i="2"/>
  <c r="N124" i="2"/>
  <c r="N128" i="2"/>
  <c r="G128" i="2"/>
  <c r="N135" i="2"/>
  <c r="P135" i="2" s="1"/>
  <c r="G135" i="2"/>
  <c r="N136" i="2"/>
  <c r="P136" i="2" s="1"/>
  <c r="G136" i="2"/>
  <c r="P137" i="2"/>
  <c r="P138" i="2"/>
  <c r="N143" i="2"/>
  <c r="P143" i="2" s="1"/>
  <c r="G143" i="2"/>
  <c r="N144" i="2"/>
  <c r="G144" i="2"/>
  <c r="N147" i="2"/>
  <c r="P147" i="2" s="1"/>
  <c r="G147" i="2"/>
  <c r="N151" i="2"/>
  <c r="N150" i="2"/>
  <c r="G150" i="2"/>
  <c r="N82" i="2"/>
  <c r="G82" i="2"/>
  <c r="N83" i="2"/>
  <c r="G83" i="2"/>
  <c r="N84" i="2"/>
  <c r="N158" i="2"/>
  <c r="P158" i="2" s="1"/>
  <c r="G158" i="2"/>
  <c r="P145" i="2"/>
  <c r="P146" i="2"/>
  <c r="N168" i="2"/>
  <c r="P168" i="2" s="1"/>
  <c r="N165" i="2"/>
  <c r="G165" i="2"/>
  <c r="N166" i="2"/>
  <c r="P166" i="2" s="1"/>
  <c r="G166" i="2"/>
  <c r="N170" i="2"/>
  <c r="N169" i="2"/>
  <c r="G169" i="2"/>
  <c r="N173" i="2"/>
  <c r="P173" i="2" s="1"/>
  <c r="G173" i="2"/>
  <c r="N177" i="2"/>
  <c r="P177" i="2" s="1"/>
  <c r="G177" i="2"/>
  <c r="N174" i="2"/>
  <c r="P174" i="2" s="1"/>
  <c r="G174" i="2"/>
  <c r="P178" i="2"/>
  <c r="N108" i="2"/>
  <c r="G108" i="2"/>
  <c r="N184" i="2"/>
  <c r="P184" i="2" s="1"/>
  <c r="G184" i="2"/>
  <c r="N185" i="2"/>
  <c r="P185" i="2" s="1"/>
  <c r="G185" i="2"/>
  <c r="P186" i="2"/>
  <c r="P187" i="2"/>
  <c r="N191" i="2"/>
  <c r="N190" i="2"/>
  <c r="G190" i="2"/>
  <c r="N189" i="2"/>
  <c r="G189" i="2"/>
  <c r="N188" i="2"/>
  <c r="P188" i="2" s="1"/>
  <c r="G188" i="2"/>
  <c r="N197" i="2"/>
  <c r="P197" i="2" s="1"/>
  <c r="N194" i="2"/>
  <c r="P194" i="2" s="1"/>
  <c r="G194" i="2"/>
  <c r="N196" i="2"/>
  <c r="P196" i="2" s="1"/>
  <c r="G196" i="2"/>
  <c r="N195" i="2"/>
  <c r="P195" i="2" s="1"/>
  <c r="G195" i="2"/>
  <c r="N200" i="2"/>
  <c r="G200" i="2"/>
  <c r="N201" i="2"/>
  <c r="G201" i="2"/>
  <c r="N202" i="2"/>
  <c r="G202" i="2"/>
  <c r="P203" i="2"/>
  <c r="N206" i="2"/>
  <c r="N205" i="2"/>
  <c r="G205" i="2"/>
  <c r="N209" i="2"/>
  <c r="N210" i="2"/>
  <c r="P210" i="2" s="1"/>
  <c r="H24" i="2"/>
  <c r="H85" i="2"/>
  <c r="H92" i="2"/>
  <c r="H115" i="2"/>
  <c r="H127" i="2"/>
  <c r="H154" i="2"/>
  <c r="H157" i="2"/>
  <c r="H107" i="2"/>
  <c r="I8" i="1"/>
  <c r="O8" i="1" s="1"/>
  <c r="I17" i="1"/>
  <c r="O17" i="1" s="1"/>
  <c r="Q17" i="1" s="1"/>
  <c r="I53" i="1"/>
  <c r="O53" i="1" s="1"/>
  <c r="I58" i="1"/>
  <c r="O58" i="1" s="1"/>
  <c r="Q58" i="1" s="1"/>
  <c r="I63" i="1"/>
  <c r="O63" i="1" s="1"/>
  <c r="Q63" i="1" s="1"/>
  <c r="I64" i="1"/>
  <c r="O64" i="1" s="1"/>
  <c r="Q64" i="1" s="1"/>
  <c r="I79" i="1"/>
  <c r="O79" i="1" s="1"/>
  <c r="Q79" i="1" s="1"/>
  <c r="I68" i="1"/>
  <c r="O68" i="1" s="1"/>
  <c r="I127" i="1"/>
  <c r="O127" i="1" s="1"/>
  <c r="Q127" i="1" s="1"/>
  <c r="I24" i="1"/>
  <c r="O24" i="1" s="1"/>
  <c r="Q24" i="1" s="1"/>
  <c r="I214" i="1"/>
  <c r="O214" i="1" s="1"/>
  <c r="I226" i="1"/>
  <c r="O226" i="1" s="1"/>
  <c r="Q226" i="1" s="1"/>
  <c r="I227" i="1"/>
  <c r="O227" i="1" s="1"/>
  <c r="I253" i="1"/>
  <c r="O253" i="1" s="1"/>
  <c r="I282" i="1"/>
  <c r="O282" i="1" s="1"/>
  <c r="I287" i="1"/>
  <c r="O287" i="1" s="1"/>
  <c r="I289" i="1"/>
  <c r="O289" i="1" s="1"/>
  <c r="Q289" i="1" s="1"/>
  <c r="I296" i="1"/>
  <c r="O296" i="1" s="1"/>
  <c r="I298" i="1"/>
  <c r="O298" i="1" s="1"/>
  <c r="I302" i="1"/>
  <c r="O302" i="1" s="1"/>
  <c r="I304" i="1"/>
  <c r="O304" i="1" s="1"/>
  <c r="I314" i="1"/>
  <c r="O314" i="1" s="1"/>
  <c r="I321" i="1"/>
  <c r="O321" i="1" s="1"/>
  <c r="Q321" i="1" s="1"/>
  <c r="I322" i="1"/>
  <c r="O322" i="1" s="1"/>
  <c r="Q322" i="1" s="1"/>
  <c r="I352" i="1"/>
  <c r="O352" i="1" s="1"/>
  <c r="Q352" i="1" s="1"/>
  <c r="I360" i="1"/>
  <c r="O360" i="1" s="1"/>
  <c r="I385" i="1"/>
  <c r="O385" i="1" s="1"/>
  <c r="I410" i="1"/>
  <c r="O410" i="1" s="1"/>
  <c r="Q410" i="1" s="1"/>
  <c r="I416" i="1"/>
  <c r="O416" i="1" s="1"/>
  <c r="Q416" i="1" s="1"/>
  <c r="I418" i="1"/>
  <c r="O418" i="1" s="1"/>
  <c r="Q418" i="1" s="1"/>
  <c r="I414" i="1"/>
  <c r="O414" i="1" s="1"/>
  <c r="Q414" i="1" s="1"/>
  <c r="I420" i="1"/>
  <c r="O420" i="1" s="1"/>
  <c r="I425" i="1"/>
  <c r="O425" i="1" s="1"/>
  <c r="I430" i="1"/>
  <c r="O430" i="1" s="1"/>
  <c r="I437" i="1"/>
  <c r="O437" i="1" s="1"/>
  <c r="Q437" i="1" s="1"/>
  <c r="I438" i="1"/>
  <c r="O438" i="1" s="1"/>
  <c r="Q438" i="1" s="1"/>
  <c r="I461" i="1"/>
  <c r="O461" i="1" s="1"/>
  <c r="Q461" i="1" s="1"/>
  <c r="I466" i="1"/>
  <c r="O466" i="1" s="1"/>
  <c r="Q466" i="1" s="1"/>
  <c r="I474" i="1"/>
  <c r="O474" i="1" s="1"/>
  <c r="I493" i="1"/>
  <c r="O493" i="1" s="1"/>
  <c r="I505" i="1"/>
  <c r="O505" i="1" s="1"/>
  <c r="Q505" i="1" s="1"/>
  <c r="I517" i="1"/>
  <c r="O517" i="1" s="1"/>
  <c r="I326" i="1"/>
  <c r="O326" i="1" s="1"/>
  <c r="I561" i="1"/>
  <c r="O561" i="1" s="1"/>
  <c r="I570" i="1"/>
  <c r="O570" i="1" s="1"/>
  <c r="Q570" i="1" s="1"/>
  <c r="I579" i="1"/>
  <c r="O579" i="1" s="1"/>
  <c r="Q579" i="1" s="1"/>
  <c r="I595" i="1"/>
  <c r="O595" i="1" s="1"/>
  <c r="Q595" i="1" s="1"/>
  <c r="I620" i="1"/>
  <c r="O620" i="1" s="1"/>
  <c r="I625" i="1"/>
  <c r="O625" i="1" s="1"/>
  <c r="I606" i="1"/>
  <c r="O606" i="1" s="1"/>
  <c r="Q606" i="1" s="1"/>
  <c r="I652" i="1"/>
  <c r="O652" i="1" s="1"/>
  <c r="I659" i="1"/>
  <c r="O659" i="1" s="1"/>
  <c r="Q659" i="1" s="1"/>
  <c r="I677" i="1"/>
  <c r="O677" i="1" s="1"/>
  <c r="Q677" i="1" s="1"/>
  <c r="I706" i="1"/>
  <c r="O706" i="1" s="1"/>
  <c r="Q706" i="1" s="1"/>
  <c r="P144" i="2" l="1"/>
  <c r="Q125" i="1"/>
  <c r="P190" i="2"/>
  <c r="P70" i="2"/>
  <c r="P84" i="2"/>
  <c r="P44" i="2"/>
  <c r="P150" i="2"/>
  <c r="Q137" i="1"/>
  <c r="Q559" i="1"/>
  <c r="Q653" i="1"/>
  <c r="Q660" i="1"/>
  <c r="P151" i="2"/>
  <c r="Q638" i="1"/>
  <c r="Q657" i="1"/>
  <c r="Q446" i="1"/>
  <c r="Q510" i="1"/>
  <c r="Q670" i="1"/>
  <c r="P83" i="2"/>
  <c r="P191" i="2"/>
  <c r="Q562" i="1"/>
  <c r="Q476" i="1"/>
  <c r="Q494" i="1"/>
  <c r="P72" i="2"/>
  <c r="P170" i="2"/>
  <c r="P128" i="2"/>
  <c r="Q535" i="1"/>
  <c r="Q642" i="1"/>
  <c r="Q473" i="1"/>
  <c r="Q552" i="1"/>
  <c r="Q518" i="1"/>
  <c r="Q511" i="1"/>
  <c r="Q201" i="1"/>
  <c r="Q645" i="1"/>
  <c r="P82" i="2"/>
  <c r="P71" i="2"/>
  <c r="P124" i="2"/>
  <c r="P88" i="2"/>
  <c r="P8" i="2"/>
  <c r="P189" i="2"/>
  <c r="Q123" i="1"/>
  <c r="Q140" i="1"/>
  <c r="Q131" i="1"/>
  <c r="Q94" i="1"/>
  <c r="Q89" i="1"/>
  <c r="Q283" i="1"/>
  <c r="Q541" i="1"/>
  <c r="Q228" i="1"/>
  <c r="Q205" i="1"/>
  <c r="Q286" i="1"/>
  <c r="Q199" i="1"/>
  <c r="Q183" i="1"/>
  <c r="Q167" i="1"/>
  <c r="Q162" i="1"/>
  <c r="Q359" i="1"/>
  <c r="Q560" i="1"/>
  <c r="Q358" i="1"/>
  <c r="Q25" i="1"/>
  <c r="Q324" i="1"/>
  <c r="Q293" i="1"/>
  <c r="Q145" i="1"/>
  <c r="Q280" i="1"/>
  <c r="Q303" i="1"/>
  <c r="Q394" i="1"/>
  <c r="Q486" i="1"/>
  <c r="Q507" i="1"/>
  <c r="Q38" i="1"/>
  <c r="Q604" i="1"/>
  <c r="Q534" i="1"/>
  <c r="Q244" i="1"/>
  <c r="Q342" i="1"/>
  <c r="Q5" i="1"/>
  <c r="Q355" i="1"/>
  <c r="Q361" i="1"/>
  <c r="Q502" i="1"/>
  <c r="Q424" i="1"/>
  <c r="Q443" i="1"/>
  <c r="Q366" i="1"/>
  <c r="Q350" i="1"/>
  <c r="Q673" i="1"/>
  <c r="Q463" i="1"/>
  <c r="Q519" i="1"/>
  <c r="Q508" i="1"/>
  <c r="Q422" i="1"/>
  <c r="Q445" i="1"/>
  <c r="Q563" i="1"/>
  <c r="Q56" i="1"/>
  <c r="Q470" i="1"/>
  <c r="Q609" i="1"/>
  <c r="Q619" i="1"/>
  <c r="Q484" i="1"/>
  <c r="Q100" i="1"/>
  <c r="Q539" i="1"/>
  <c r="Q663" i="1"/>
  <c r="Q297" i="1"/>
  <c r="Q455" i="1"/>
  <c r="Q626" i="1"/>
  <c r="Q618" i="1"/>
  <c r="Q601" i="1"/>
  <c r="Q569" i="1"/>
  <c r="Q553" i="1"/>
  <c r="Q298" i="1"/>
  <c r="Q294" i="1"/>
  <c r="P50" i="2"/>
  <c r="P108" i="2"/>
  <c r="P37" i="2"/>
  <c r="P209" i="2"/>
  <c r="P165" i="2"/>
  <c r="Q655" i="1"/>
  <c r="Q287" i="1"/>
  <c r="Q382" i="1"/>
  <c r="Q392" i="1"/>
  <c r="Q586" i="1"/>
  <c r="Q121" i="1"/>
  <c r="Q160" i="1"/>
  <c r="Q117" i="1"/>
  <c r="Q565" i="1"/>
  <c r="Q154" i="1"/>
  <c r="Q21" i="1"/>
  <c r="Q150" i="1"/>
  <c r="P200" i="2"/>
  <c r="P201" i="2"/>
  <c r="Q592" i="1"/>
  <c r="Q12" i="1"/>
  <c r="Q314" i="1"/>
  <c r="Q357" i="1"/>
  <c r="Q488" i="1"/>
  <c r="Q624" i="1"/>
  <c r="Q614" i="1"/>
  <c r="Q284" i="1"/>
  <c r="Q281" i="1"/>
  <c r="Q110" i="1"/>
  <c r="Q278" i="1"/>
  <c r="Q426" i="1"/>
  <c r="Q447" i="1"/>
  <c r="Q168" i="1"/>
  <c r="Q444" i="1"/>
  <c r="Q302" i="1"/>
  <c r="Q163" i="1"/>
  <c r="O587" i="1"/>
  <c r="Q587" i="1" s="1"/>
  <c r="Q646" i="1"/>
  <c r="Q73" i="1"/>
  <c r="Q52" i="1"/>
  <c r="Q475" i="1"/>
  <c r="Q464" i="1"/>
  <c r="Q35" i="1"/>
  <c r="Q27" i="1"/>
  <c r="Q617" i="1"/>
  <c r="Q375" i="1"/>
  <c r="Q344" i="1"/>
  <c r="Q67" i="1"/>
  <c r="Q208" i="1"/>
  <c r="Q225" i="1"/>
  <c r="Q102" i="1"/>
  <c r="Q66" i="1"/>
  <c r="Q41" i="1"/>
  <c r="P205" i="2"/>
  <c r="P206" i="2"/>
  <c r="Q252" i="1"/>
  <c r="Q95" i="1"/>
  <c r="Q285" i="1"/>
  <c r="Q425" i="1"/>
  <c r="Q304" i="1"/>
  <c r="Q448" i="1"/>
  <c r="Q516" i="1"/>
  <c r="Q599" i="1"/>
  <c r="Q158" i="1"/>
  <c r="Q54" i="1"/>
  <c r="Q62" i="1"/>
  <c r="Q36" i="1"/>
  <c r="Q420" i="1"/>
  <c r="Q351" i="1"/>
  <c r="Q176" i="1"/>
  <c r="Q301" i="1"/>
  <c r="Q360" i="1"/>
  <c r="Q719" i="1"/>
  <c r="Q87" i="1"/>
  <c r="P39" i="2"/>
  <c r="P91" i="2"/>
  <c r="Q517" i="1"/>
  <c r="Q672" i="1"/>
  <c r="Q71" i="1"/>
  <c r="Q70" i="1"/>
  <c r="Q450" i="1"/>
  <c r="Q478" i="1"/>
  <c r="Q69" i="1"/>
  <c r="Q431" i="1"/>
  <c r="Q242" i="1"/>
  <c r="Q549" i="1"/>
  <c r="Q574" i="1"/>
  <c r="Q74" i="1"/>
  <c r="Q481" i="1"/>
  <c r="Q608" i="1"/>
  <c r="Q381" i="1"/>
  <c r="Q51" i="1"/>
  <c r="Q53" i="1"/>
  <c r="Q620" i="1"/>
  <c r="Q8" i="1"/>
  <c r="Q634" i="1"/>
  <c r="Q42" i="1"/>
  <c r="Q138" i="1"/>
  <c r="Q651" i="1"/>
  <c r="Q28" i="1"/>
  <c r="Q449" i="1"/>
  <c r="Q248" i="1"/>
  <c r="Q479" i="1"/>
  <c r="Q625" i="1"/>
  <c r="Q249" i="1"/>
  <c r="Q20" i="1"/>
  <c r="Q9" i="1"/>
  <c r="Q237" i="1"/>
  <c r="Q6" i="1"/>
  <c r="Q214" i="1"/>
  <c r="Q384" i="1"/>
  <c r="Q339" i="1"/>
  <c r="Q139" i="1"/>
  <c r="Q136" i="1"/>
  <c r="Q212" i="1"/>
  <c r="Q152" i="1"/>
  <c r="Q18" i="1"/>
  <c r="Q175" i="1"/>
  <c r="Q605" i="1"/>
  <c r="Q215" i="1"/>
  <c r="Q14" i="1"/>
  <c r="Q482" i="1"/>
  <c r="Q116" i="1"/>
  <c r="Q107" i="1"/>
  <c r="Q561" i="1"/>
  <c r="Q65" i="1"/>
  <c r="Q119" i="1"/>
  <c r="Q395" i="1"/>
  <c r="Q7" i="1"/>
  <c r="Q296" i="1"/>
  <c r="Q492" i="1"/>
  <c r="Q317" i="1"/>
  <c r="Q114" i="1"/>
  <c r="Q31" i="1"/>
  <c r="Q26" i="1"/>
  <c r="Q254" i="1"/>
  <c r="Q93" i="1"/>
  <c r="Q326" i="1"/>
  <c r="Q474" i="1"/>
  <c r="Q597" i="1"/>
  <c r="Q270" i="1"/>
  <c r="Q120" i="1"/>
  <c r="Q469" i="1"/>
  <c r="Q194" i="1"/>
  <c r="Q644" i="1"/>
  <c r="Q72" i="1"/>
  <c r="Q627" i="1"/>
  <c r="Q623" i="1"/>
  <c r="Q318" i="1"/>
  <c r="Q276" i="1"/>
  <c r="Q23" i="1"/>
  <c r="P169" i="2"/>
  <c r="P202" i="2"/>
  <c r="P7" i="2"/>
  <c r="Q213" i="1"/>
  <c r="Q251" i="1"/>
  <c r="Q430" i="1"/>
  <c r="Q224" i="1"/>
  <c r="Q675" i="1"/>
  <c r="Q315" i="1"/>
  <c r="Q180" i="1"/>
  <c r="Q612" i="1"/>
  <c r="Q122" i="1"/>
  <c r="Q585" i="1"/>
  <c r="Q279" i="1"/>
  <c r="Q272" i="1"/>
  <c r="Q268" i="1"/>
  <c r="Q577" i="1"/>
  <c r="Q282" i="1"/>
  <c r="Q253" i="1"/>
  <c r="Q147" i="1"/>
  <c r="Q227" i="1"/>
  <c r="Q68" i="1"/>
  <c r="Q654" i="1"/>
  <c r="Q103" i="1"/>
  <c r="Q652" i="1"/>
  <c r="Q385" i="1"/>
  <c r="Q88" i="1"/>
  <c r="Q198" i="1"/>
  <c r="Q493" i="1"/>
  <c r="Q164" i="1"/>
  <c r="Q453" i="1"/>
  <c r="Q661" i="1"/>
  <c r="Q538" i="1"/>
  <c r="Q500" i="1"/>
  <c r="Q316" i="1"/>
  <c r="Q544" i="1"/>
  <c r="P116" i="2"/>
  <c r="Q99" i="1"/>
  <c r="Q440" i="1"/>
  <c r="Q273" i="1"/>
  <c r="Q325" i="1"/>
  <c r="P123" i="2"/>
  <c r="Q269" i="1"/>
  <c r="Q295" i="1"/>
  <c r="Q491" i="1"/>
  <c r="Q182" i="1"/>
  <c r="Q480" i="1"/>
  <c r="N107" i="2"/>
  <c r="P107" i="2" s="1"/>
  <c r="G107" i="2"/>
  <c r="N157" i="2"/>
  <c r="P157" i="2" s="1"/>
  <c r="G157" i="2"/>
  <c r="N154" i="2"/>
  <c r="P154" i="2" s="1"/>
  <c r="G154" i="2"/>
  <c r="N127" i="2"/>
  <c r="P127" i="2" s="1"/>
  <c r="G127" i="2"/>
  <c r="N115" i="2"/>
  <c r="P115" i="2" s="1"/>
  <c r="G115" i="2"/>
  <c r="N92" i="2"/>
  <c r="P92" i="2" s="1"/>
  <c r="G92" i="2"/>
  <c r="N85" i="2"/>
  <c r="P85" i="2" s="1"/>
  <c r="G85" i="2"/>
  <c r="N24" i="2"/>
  <c r="P24" i="2" s="1"/>
  <c r="G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5" authorId="0" shapeId="0" xr:uid="{00000000-0006-0000-0200-000001000000}">
      <text>
        <r>
          <rPr>
            <sz val="24"/>
            <color indexed="81"/>
            <rFont val="Tahoma"/>
            <family val="2"/>
          </rPr>
          <t xml:space="preserve">As per billing data </t>
        </r>
      </text>
    </comment>
    <comment ref="G58" authorId="0" shapeId="0" xr:uid="{00000000-0006-0000-0200-000002000000}">
      <text>
        <r>
          <rPr>
            <sz val="24"/>
            <color indexed="81"/>
            <rFont val="Tahoma"/>
            <family val="2"/>
          </rPr>
          <t xml:space="preserve">As per billing data </t>
        </r>
      </text>
    </comment>
    <comment ref="G61" authorId="0" shapeId="0" xr:uid="{00000000-0006-0000-0200-000003000000}">
      <text>
        <r>
          <rPr>
            <sz val="24"/>
            <color indexed="81"/>
            <rFont val="Tahoma"/>
            <family val="2"/>
          </rPr>
          <t xml:space="preserve">As per billing data </t>
        </r>
      </text>
    </comment>
    <comment ref="G283" authorId="0" shapeId="0" xr:uid="{00000000-0006-0000-0200-000004000000}">
      <text>
        <r>
          <rPr>
            <sz val="24"/>
            <color indexed="81"/>
            <rFont val="Tahoma"/>
            <family val="2"/>
          </rPr>
          <t xml:space="preserve">As per billing data </t>
        </r>
      </text>
    </comment>
  </commentList>
</comments>
</file>

<file path=xl/sharedStrings.xml><?xml version="1.0" encoding="utf-8"?>
<sst xmlns="http://schemas.openxmlformats.org/spreadsheetml/2006/main" count="7225" uniqueCount="1437">
  <si>
    <t>S.No</t>
  </si>
  <si>
    <t>OA Consumers</t>
  </si>
  <si>
    <t>Year</t>
  </si>
  <si>
    <t>Capacity (in MVA)</t>
  </si>
  <si>
    <t>Gross Energy Consumption (in MUs)</t>
  </si>
  <si>
    <t>Solar RPO</t>
  </si>
  <si>
    <t>Non-Solar RPO</t>
  </si>
  <si>
    <t>Total R.E to be procured as per RPO (in MUs)</t>
  </si>
  <si>
    <t>Total R.E actually procured (in MUs)</t>
  </si>
  <si>
    <t xml:space="preserve">Total Shortfall (in MUs) </t>
  </si>
  <si>
    <t>Remarks from DISCOMs(MSEDCL/TPC-D/Adani-D)</t>
  </si>
  <si>
    <t>Remarks from MEDA</t>
  </si>
  <si>
    <t>R.E actually procured against target (in MUs)</t>
  </si>
  <si>
    <t>R.E actually procured against target including own generation (in MUs)</t>
  </si>
  <si>
    <t>Solar RE Procurement (in MUs)</t>
  </si>
  <si>
    <t>Solar REC (in MUs)</t>
  </si>
  <si>
    <t>Non-Solar RE Procurement (in MUs)</t>
  </si>
  <si>
    <t>Non-Solar REC (in MUs)</t>
  </si>
  <si>
    <t>2014-15</t>
  </si>
  <si>
    <t>MSEDCL has verified  &amp; submitted GEC before loss &amp; same is updated By MEDA.</t>
  </si>
  <si>
    <t>2015-16</t>
  </si>
  <si>
    <t>2016-17</t>
  </si>
  <si>
    <t>2017-18</t>
  </si>
  <si>
    <t>As per report submitted by entity vide its letter dated 27.07.2019, Entity is obligated under RPO in OA consumer category for FY 2017-18 and have  fulfilled Solar and Non-Solar RPO.</t>
  </si>
  <si>
    <t>2018-19</t>
  </si>
  <si>
    <t xml:space="preserve">MSEDCL has verified &amp; submitted GEC before loss &amp; same is updated by MEDA. </t>
  </si>
  <si>
    <t>As per report submitted by entity vide its letter dtd 20.04.2021, Entity is obligated under RPO in OA consumer category for FY 2018-19. However the entity does not fulfils the RPO.</t>
  </si>
  <si>
    <t>2019-20</t>
  </si>
  <si>
    <t>As per report submitted by entity vide its letter dated 20.04.2021 &amp; email dated 20.04.2021, Entity is obligated under RPO in OA consumer category for FY 2017-18. However the entity does not fulfils the RPO.</t>
  </si>
  <si>
    <t>No report has been submitted by entity. However GEC of entity have been considered from MSEDCL verification e-mail dated 03.11.2018 submitted to MEDA inrespect of its RPO achivement report for FY 2015-16.</t>
  </si>
  <si>
    <t>Adani Electricity Mumbai Ltd (Earlierly Know as R-infra-D) has verified  &amp; submitted GEC &amp; Contract Demand &amp; same is updated By MEDA.</t>
  </si>
  <si>
    <t>No report has been submitted by entity. However GEC of entity have been considered from AEML   email dated 31.08.2018 submitted to MEDA inrespect of its verififcation of RPO achivement report for FY 2015-16.</t>
  </si>
  <si>
    <t xml:space="preserve">As per report submitted by entity vide its letter dated 30.03.2021, Entity is obligated under RPO in OA consumer category for FY 2019-20 and have partially fulfilled Solar and Non-Solar RPO. </t>
  </si>
  <si>
    <r>
      <t>As per report submitted by entity vide its letter dated 16.08.2016, Entity is obligated under RPO in OA consumer category for FY 2015-16.</t>
    </r>
    <r>
      <rPr>
        <i/>
        <sz val="48"/>
        <rFont val="Arial"/>
        <family val="2"/>
      </rPr>
      <t>MEDA has considered GEC as per the report submitted by MSEDCL and not considered GEC submitted by obligated entity.</t>
    </r>
  </si>
  <si>
    <t>No report has been submitted by entity. However GEC of entity have been considered from MSEDCL verification e-mail dated 03.11.2018 &amp; 16.02.2019 submitted to MEDA inrespect of its RPO achivement report for FY 2014-15.</t>
  </si>
  <si>
    <r>
      <t xml:space="preserve">Bebitz Flanges Works Pvt Ltd.                                                                         S.N 140/2, Village Saravali, Tal- Palghar, Dist- Thane-401 501 </t>
    </r>
    <r>
      <rPr>
        <b/>
        <sz val="48"/>
        <rFont val="Arial"/>
        <family val="2"/>
      </rPr>
      <t>(Consumer no.-003019026750)</t>
    </r>
  </si>
  <si>
    <t>As per report submitted by entity vide its letter dated 30.06.2018, Entity is obligated under RPO in OA consumer category for FY 2017-18 and have fulfilled Non solar and Solar RPO.</t>
  </si>
  <si>
    <t>As per report submitted by entity vide its letter dated 17.09.2019, Entity is obligated under RPO in OA consumer category for FY 2018-19 and have fulfilled Non solar and Solar RPO.</t>
  </si>
  <si>
    <t>No report has been submitted by entity. However GEC &amp; CD of entity have been considered from MSEDCL e-mail dated 06.06.2025</t>
  </si>
  <si>
    <r>
      <t>As per report submitted by entity vide its letter dated 18.08.2016, Entity is obligated under RPO in OA consumer category for FY 2015-16.</t>
    </r>
    <r>
      <rPr>
        <i/>
        <sz val="48"/>
        <rFont val="Arial"/>
        <family val="2"/>
      </rPr>
      <t>MEDA has considered GEC as per the report submitted by MSEDCL and not considered GEC submitted by obligated entity.</t>
    </r>
  </si>
  <si>
    <r>
      <t>Adani Electricity Mumbai Ltd (</t>
    </r>
    <r>
      <rPr>
        <i/>
        <sz val="48"/>
        <rFont val="Arial"/>
        <family val="2"/>
      </rPr>
      <t xml:space="preserve"> Formarly R-infra-D</t>
    </r>
    <r>
      <rPr>
        <sz val="48"/>
        <rFont val="Arial"/>
        <family val="2"/>
      </rPr>
      <t>) has verified  &amp; submitted GEC &amp; Contract Demand &amp; same is updated By MEDA.</t>
    </r>
  </si>
  <si>
    <t xml:space="preserve">As per report submitted by entity vide its letter dated 20.09.2019, Entity is obligated under RPO in OA consumer category for FY 2018-2019  and have  fulfilled Solar and Non-Solar RPO. </t>
  </si>
  <si>
    <t xml:space="preserve">As per report submitted by entity vide its letter dated 20.09.2019, Entity is obligated under RPO in OA consumer category for FY 2018-19  and have  fulfilled Solar and Non-Solar RPO. </t>
  </si>
  <si>
    <t>Solar and Non Solar enegy details as received from consumer,</t>
  </si>
  <si>
    <t xml:space="preserve">As per report submitted by entity vide its letter dated 01.12.2020, Entity is obligated under RPO in OA consumer category for FY 2019-20  and have  fulfilled Solar and Non-Solar RPO. </t>
  </si>
  <si>
    <t>No report has been submitted by entity. However GEC &amp; CD of entity have been considered from MSEDCL e-mail dated 06.06.2023</t>
  </si>
  <si>
    <t>TPC-D has verified  &amp; submitted GEC &amp; Contract Demand &amp; same is updated By MEDA.</t>
  </si>
  <si>
    <r>
      <t>As per report submitted by entity vide its letter dated 05.07.2017 Entity is obligated under RPO in OA consumer category for FY 2015-16.</t>
    </r>
    <r>
      <rPr>
        <i/>
        <sz val="48"/>
        <rFont val="Arial"/>
        <family val="2"/>
      </rPr>
      <t>MEDA has considered GEC as per the report submitted by TPC-D and not considered GEC submitted by obligated entity.</t>
    </r>
  </si>
  <si>
    <t>MSEDCL has verified  &amp; submitted GEC before loss &amp; same is updated By MEDA.Also MSEDCL submit CD 4MVA but MEDA consider CA Certified CD submitted Entity.</t>
  </si>
  <si>
    <r>
      <t>As per report submitted by entity vide its letter dated 02.11.2015,08.02.2016 &amp; 06.04.2016 Entity is obligated under RPO in OA consumer category for FY 2015-16.</t>
    </r>
    <r>
      <rPr>
        <i/>
        <sz val="48"/>
        <rFont val="Arial"/>
        <family val="2"/>
      </rPr>
      <t>MEDA has considered GEC as per the report submitted by MSEDCL and not considered GEC submitted by obligated entity.</t>
    </r>
  </si>
  <si>
    <t>No report has been submitted by entity. However GEC of entity have been considered from TPC-D   email dated 08.09.2018 submitted to MEDA inrespect of its verififcation of RPO achivement report for FY 2015-16.</t>
  </si>
  <si>
    <r>
      <t xml:space="preserve">Copper Corporation Pvt.Ltd.                          M-60,ADDL.MIDC. Post Kodoli Satara-415004                                             </t>
    </r>
    <r>
      <rPr>
        <b/>
        <sz val="48"/>
        <rFont val="Arial"/>
        <family val="2"/>
      </rPr>
      <t>Consumer No.190569021870</t>
    </r>
  </si>
  <si>
    <r>
      <t xml:space="preserve">Copper Corporation Pvt.Ltd. M-60-1,ADDL.MIDC. Post Kodoli Satara-415004                                                   </t>
    </r>
    <r>
      <rPr>
        <b/>
        <sz val="48"/>
        <rFont val="Arial"/>
        <family val="2"/>
      </rPr>
      <t>Consumer No.190569006591</t>
    </r>
  </si>
  <si>
    <r>
      <t xml:space="preserve">Corning Technologies India Pvt.Ltd.   Plot No. D 237 MIDC Chakan Phase II, Tal: Khed, Dist: Pune- 410 501.      </t>
    </r>
    <r>
      <rPr>
        <b/>
        <sz val="48"/>
        <rFont val="Arial"/>
        <family val="2"/>
      </rPr>
      <t xml:space="preserve">Consumer No:176759054410.      </t>
    </r>
  </si>
  <si>
    <t>No report has been submitted by entity. However GEC &amp; CD of entity have been considered from MSEDCL e-mail dated 06.06.2029</t>
  </si>
  <si>
    <r>
      <t>As per report submitted by entity vide its letter dated 20.08.2016, Entity is obligated under RPO in OA consumer category for FY 2015-16.</t>
    </r>
    <r>
      <rPr>
        <i/>
        <sz val="48"/>
        <rFont val="Arial"/>
        <family val="2"/>
      </rPr>
      <t>MEDA has considered GEC as per the report submitted by MSEDCL and not considered GEC submitted by obligated entity.</t>
    </r>
  </si>
  <si>
    <t>MSEDCL has verified  &amp; submitted GEC before loss ,CD not submitted by entity as well as MSEDCL &amp; same is updated By MEDA.</t>
  </si>
  <si>
    <t xml:space="preserve">As per report submitted by entity vide its letter dated 22.08.2019, Entity is obligated under RPO in OA consumer category for FY 2018-19 and have fulfilled Solar and Non-Solar RPO. </t>
  </si>
  <si>
    <t>As per report submitted by entity vide its letter dated 27.06.2019, Entity is in Corporate Insolvency Resolution Process,due this problem they are not able to comply the RPO.However GEC &amp; CD of entity have been considered from MSEDCL e-mail dated 06.06.2018</t>
  </si>
  <si>
    <r>
      <t xml:space="preserve">Finolex Industries Ltd. Village Urse, Tal. Maval,                                                                    Dist. Pune- 410 506                              </t>
    </r>
    <r>
      <rPr>
        <b/>
        <sz val="48"/>
        <rFont val="Arial"/>
        <family val="2"/>
      </rPr>
      <t>Consumer No:181209042640</t>
    </r>
  </si>
  <si>
    <r>
      <t xml:space="preserve">Galaxy Sufactants Limited
Plot no. . V-23, MIDC, Taloja &amp; Plot no. 1, Village-Chal, Near Taloja Ind. Area, Tal- Panvel, Dist-Raigad-410208.                 </t>
    </r>
    <r>
      <rPr>
        <b/>
        <sz val="48"/>
        <rFont val="Arial"/>
        <family val="2"/>
      </rPr>
      <t xml:space="preserve">Consumer No: 28619021110 </t>
    </r>
    <r>
      <rPr>
        <sz val="48"/>
        <rFont val="Arial"/>
        <family val="2"/>
      </rPr>
      <t xml:space="preserve">  </t>
    </r>
  </si>
  <si>
    <r>
      <t>As per report submitted by entity vide its letter dated 19.04.2017 Entity is obligated under RPO in OA consumer category for FY 2015-16.</t>
    </r>
    <r>
      <rPr>
        <i/>
        <sz val="48"/>
        <rFont val="Arial"/>
        <family val="2"/>
      </rPr>
      <t>MEDA has considered GEC as per the report submitted by MSEDCL and not considered GEC submitted by obligated entity.</t>
    </r>
  </si>
  <si>
    <r>
      <t xml:space="preserve">Godfrey Philips India Ltd.    Rabale, Navi Mumbai, Maharashtra 400701                              </t>
    </r>
    <r>
      <rPr>
        <b/>
        <sz val="48"/>
        <rFont val="Arial"/>
        <family val="2"/>
      </rPr>
      <t>Consumer No:119036670</t>
    </r>
  </si>
  <si>
    <r>
      <t xml:space="preserve">Godrej Industries Limited,                           Plot No. N-73, MIDC Additional , Ambernath Industrial Area, Anand Nagar, Ambernath, Maharashtra 421506                                       </t>
    </r>
    <r>
      <rPr>
        <b/>
        <sz val="48"/>
        <rFont val="Arial"/>
        <family val="2"/>
      </rPr>
      <t>Consumer No:21529054060</t>
    </r>
  </si>
  <si>
    <r>
      <t>As per report submitted by entity vide its letter dated 17.08.2016 Entity is obligated under RPO in OA consumer category for FY 2015-16.</t>
    </r>
    <r>
      <rPr>
        <i/>
        <sz val="48"/>
        <rFont val="Arial"/>
        <family val="2"/>
      </rPr>
      <t>MEDA has considered GEC as per the report submitted by MSEDCL and not considered GEC submitted by obligated entity.</t>
    </r>
  </si>
  <si>
    <t>As per report submitted by entity vide its letter dated 25.06.2018, Entity is obligated under RPO in OA consumer category for FY 2017-18 and have partially fulfilled solar and non-solar RPO.</t>
  </si>
  <si>
    <t>As per report submitted by entity vide its letter dated 15.05.2019, Entity is obligated under RPO in OA consumer category for FY 2018-19 and have fulfilled Non solar and Solar RPO.</t>
  </si>
  <si>
    <t xml:space="preserve">As per report submitted by entity vide its letter dated 01.07.2020, Entity is obligated under RPO in OA consumer category for FY 2019-20, they have fulfilled Solar and Non-Solar RPO. </t>
  </si>
  <si>
    <r>
      <t>As per report submitted by entity vide its letter dated 08.08.2017 Entity is obligated under RPO in OA consumer category for FY 2015-16.</t>
    </r>
    <r>
      <rPr>
        <i/>
        <sz val="48"/>
        <rFont val="Arial"/>
        <family val="2"/>
      </rPr>
      <t>MEDA has considered GEC as per the report submitted by MSEDCL and not considered GEC submitted by obligated entity.</t>
    </r>
  </si>
  <si>
    <t>No report has been submitted by entity. However GEC &amp; CD of entity have been considered from MSEDCL e-mail dated 06.06.2024</t>
  </si>
  <si>
    <t xml:space="preserve">As per report submitted by entity vide its letter dated 05.12.2019, Entity is obligated under RPO in OA consumer category for FY 2017-18 and have  fulfilled Solar and Non-Solar RPO. </t>
  </si>
  <si>
    <t xml:space="preserve">TPC-D submits that entity has 260.35Mus of GEC, But entity vide its letter dtd. 12.04.2021 submits that only 255.11MUs is used under OA Category. Rest is used for their CPP. </t>
  </si>
  <si>
    <t>As per report submitted by entity vide its letter dated 16.03.2021 &amp; 12.04.2021, Entity is obligated under RPO in OA consumer category for FY 2018-19 and have partially fulfilled Non solar and Solar RPO.Entity request to consider the balance 46.556 Mus of non-solar energy against non-solar obligation for FY 2019-20</t>
  </si>
  <si>
    <t xml:space="preserve">As per consumer's mail total RE procured is 52.21Mus. </t>
  </si>
  <si>
    <t>As per report submitted by entity vide its letter dated 16.03.2021 &amp; 12.04.2021, Entity is obligated under RPO in OA consumer category for FY 2019-20 and have  partially fulfilled Solar and Non-Solar RPO and have requested to consider the surplus generation of previous FY to be used now in Non-solar RE. So out of surplus 46.546 Mus of Non-solar RE of previous year, 1.41 Mus is used to fulfill the Non-solar RE for 2019-20 in CPP and rest 45.136 Mus is used here for non-solar rpo OA fulfillment. .</t>
  </si>
  <si>
    <t>As per report submitted by entity vide its letter dated 13.07.2018, Entity is obligated under RPO in OA consumer category for FY 2017-18.Entity has given Solar REC 901 certificates, out of this they have used 773 solar REC certificate for FY 17-18 and balance 128 solar REC will be used in FY 2018-19.</t>
  </si>
  <si>
    <t>As per report submitted by entity vide its letter dated 30.08.2019, Entity is obligated under RPO in OA consumer category for FY 2018-19 and have fulfilled Non solar and Solar RPO.In month of april 2018 issued Solar REC 901 certificates, out of this they have used 773 solar REC certificate for FY 17-18 and balance 128 solar REC is been used in FY 2018-19.</t>
  </si>
  <si>
    <r>
      <t>As per report submitted by entity vide its letter dated 15.04.2017, Entity is obligated under RPO in OA consumer category for FY 2016-17.</t>
    </r>
    <r>
      <rPr>
        <i/>
        <sz val="48"/>
        <rFont val="Arial"/>
        <family val="2"/>
      </rPr>
      <t>MEDA has considered GEC as per the report submitted by MSEDCL and not considered GEC submitted by obligated entity.</t>
    </r>
  </si>
  <si>
    <r>
      <t>As per report submitted by entity vide its letter dated 11.08.2016, Entity is obligated under RPO in OA consumer category for FY 2015-16.</t>
    </r>
    <r>
      <rPr>
        <i/>
        <sz val="48"/>
        <rFont val="Arial"/>
        <family val="2"/>
      </rPr>
      <t>MEDA has considered GEC as per the report submitted by MSEDCL and not considered GEC submitted by obligated entity.</t>
    </r>
  </si>
  <si>
    <t>As per report submitted by entity vide its letter dated 01.10.2018, Entity is obligated under RPO in OA consumer category for FY 2017-18  and have fulfilled Solar and Non-Solar RPO.</t>
  </si>
  <si>
    <t>As per report submitted by entity vide its letter dated 28.06.2019, Entity is obligated under RPO in OA consumer category for FY 2018-19  and have fulfilled Solar and Non-Solar RPO.</t>
  </si>
  <si>
    <t>As per report submitted by entity vide its letter dated 28.07.2020 &amp; 15.01.2021, Entity is obligated under RPO in OA consumer category for FY 2019-20 and have fulfilled Solar and Non-Solar RPO.</t>
  </si>
  <si>
    <r>
      <t xml:space="preserve">JSW STEEL COATED PRODUCTS LTD.                   B-6 MIDC , INDUSTRIAL AREA NAVAPUR ROAD BOISAR.       </t>
    </r>
    <r>
      <rPr>
        <b/>
        <sz val="44"/>
        <rFont val="Arial"/>
        <family val="2"/>
      </rPr>
      <t>MSEDCL</t>
    </r>
    <r>
      <rPr>
        <sz val="44"/>
        <rFont val="Arial"/>
        <family val="2"/>
      </rPr>
      <t xml:space="preserve">              </t>
    </r>
    <r>
      <rPr>
        <b/>
        <sz val="44"/>
        <rFont val="Arial"/>
        <family val="2"/>
      </rPr>
      <t xml:space="preserve">Consumer no.003019004642 </t>
    </r>
  </si>
  <si>
    <t xml:space="preserve">As per report submitted by entity vide its letter dated 27.06.2019, Entity is obligated under RPO in OA consumer category for FY 2017-18 and have  fulfilled Solar and Non-Solar RPO. </t>
  </si>
  <si>
    <t>No report has been submitted by entity. However GEC &amp; CD of entity have been considered from MSEDCL e-mail dated 06.08.2019</t>
  </si>
  <si>
    <t>No report has been submitted by entity. However GEC &amp; CD of entity have been considered from MSEDCL e-mail dated 22.06.2020 list</t>
  </si>
  <si>
    <t>As per report submitted by entity vide its letter dated 30.04.2019, Entity is obligated under RPO in OA consumer category for FY 2017-18  and have fulfilled Solar and Non-Solar RPO.</t>
  </si>
  <si>
    <t>As per report submitted by entity vide its letter dated 26.09.2019, Entity is obligated under RPO in OA consumer category for FY 2018-19 and have partially fulfilled Solar and Non-Solar RPO. 1452 out of 1474 Non-solar REC &amp; 723 Solar REC out of 728 is used to fulfill shortfall of OA Category &amp; remaing is used to fulfilment of RPO of CPP category for FY 2018-19.</t>
  </si>
  <si>
    <t>As per report submitted by entity vide its letter dated 18.07.2018, Entity is obligated under RPO in OA consumer category for FY 2017-18 and have fulfilled Solar and Non-Solar RPO.</t>
  </si>
  <si>
    <t>As per report submitted by entity vide its letter dated 28.08.2019, Entity is obligated under RPO in OA consumer category for FY 2018-19 and have partially fulfilled Solar and Non-Solar RPO.</t>
  </si>
  <si>
    <r>
      <t xml:space="preserve">JSW Steel Coated Products Ltd., A/10/1 &amp; 10/2, MIDC, Industrial Area, Kalmeshwar, Dist. Nagpur 441501.    </t>
    </r>
    <r>
      <rPr>
        <b/>
        <sz val="47"/>
        <rFont val="Arial"/>
        <family val="2"/>
      </rPr>
      <t>MSEDCL</t>
    </r>
    <r>
      <rPr>
        <sz val="47"/>
        <rFont val="Arial"/>
        <family val="2"/>
      </rPr>
      <t xml:space="preserve"> </t>
    </r>
    <r>
      <rPr>
        <b/>
        <sz val="47"/>
        <rFont val="Arial"/>
        <family val="2"/>
      </rPr>
      <t xml:space="preserve">Consumer no. 430019002670  </t>
    </r>
  </si>
  <si>
    <t>As per report submitted by entity vide its letter dated 27.07.2019, Entity is obligated under RPO in OA consumer category for FY 2017-18. However the entity does not fulfils the RPO.</t>
  </si>
  <si>
    <t>Jubilant Life Science Ltd.,                                   Village-Nimbut,Rly.stn Nira,Dist;Pune-412102.</t>
  </si>
  <si>
    <t>MSEDCL has verified  &amp; submitted GEC before loss &amp; same is updated By MEDA.Also MSEDCL submit CD 4.5 MVA but MEDA consider CA Certified CD submitted Entity.</t>
  </si>
  <si>
    <t>No report has been submitted by entity. However GEC &amp; CD of entity have been considered from MSEDCL e-mail dated 06.06.2021</t>
  </si>
  <si>
    <t xml:space="preserve">As per report submitted by entity vide its letter dated 03.10.2019.Entity is obligated under RPO in OA consumer category for FY 2018-19 and have fulfilled solar and non-solar RPO </t>
  </si>
  <si>
    <t>As per report submitted by entity vide its letter dated 11.04.2018, Entity is obligated under RPO in OA consumer category for FY 2017-18 and have partially fulfilled solar and non-solar RPO also the RPO achievement data provided by entity shows different Non-solar REC value</t>
  </si>
  <si>
    <r>
      <t>As per report submitted by entity vide its letter dated 19.08.2016, Entity is obligated under RPO in OA consumer category for FY 2015-16.</t>
    </r>
    <r>
      <rPr>
        <i/>
        <sz val="48"/>
        <rFont val="Arial"/>
        <family val="2"/>
      </rPr>
      <t>MEDA has considered GEC as per the report submitted by MSEDCL and not considered GEC submitted by obligated entity.</t>
    </r>
  </si>
  <si>
    <r>
      <t xml:space="preserve">Maharashtra Seamless Ltd.               At Village Sukeli,Roha,Raigad-400001.               </t>
    </r>
    <r>
      <rPr>
        <b/>
        <sz val="48"/>
        <rFont val="Arial"/>
        <family val="2"/>
      </rPr>
      <t>Consumer</t>
    </r>
    <r>
      <rPr>
        <sz val="48"/>
        <rFont val="Arial"/>
        <family val="2"/>
      </rPr>
      <t xml:space="preserve"> </t>
    </r>
    <r>
      <rPr>
        <b/>
        <sz val="48"/>
        <rFont val="Arial"/>
        <family val="2"/>
      </rPr>
      <t>No:037279017847.</t>
    </r>
  </si>
  <si>
    <r>
      <t xml:space="preserve">Maharashtra Seamless Ltd.  402, Sarjan Plaza, 100 Dr.annie Besant road, Worli, Mumbai-400018.                      MSEDCL </t>
    </r>
    <r>
      <rPr>
        <b/>
        <sz val="48"/>
        <color indexed="10"/>
        <rFont val="Arial"/>
        <family val="2"/>
      </rPr>
      <t>Consumer no. 037279017847.</t>
    </r>
  </si>
  <si>
    <t>MSEDCL has verified  &amp; submitted GEC before loss But consider CA Certified GEC &amp; CD submitted Entity.</t>
  </si>
  <si>
    <r>
      <t xml:space="preserve">Mahindra &amp; Mahindra Limited,Automotive Sector,                                  89,  MIDC, Satpur, Nashik - 422007           </t>
    </r>
    <r>
      <rPr>
        <b/>
        <sz val="44"/>
        <rFont val="Arial"/>
        <family val="2"/>
      </rPr>
      <t xml:space="preserve"> MSEDCL Consumer no.049069000702</t>
    </r>
  </si>
  <si>
    <t>As per report submitted by entity vide its letter dated 10.04.2018, entity have submitted solar RE procurement from their internal grid plant, MEDA  not consider the same.</t>
  </si>
  <si>
    <t>As per report submitted by entity vide its letter dated 30.04.2018, .entity have submitted solar RE procurement from their internal grid plant but MEDA have not consider the same.</t>
  </si>
  <si>
    <t>As per billing, Solar and Non Solar REC data is not available with TPC-D.</t>
  </si>
  <si>
    <t>As per report submitted by entity vide its letter dated 17.04.2019, entity have submitted non solar RE procurement which MEDA had taken but The non-solar RE procurement provided by TPC-D is 1.958MUs. Also entity had given GEC as 21.7617MUs but MEDA had taken the value submitted by TPC-D.Thay have submitted solar power procurement from their internal grid plant, but MEDA  not consider their solar procurement and partially fulfilled the target.</t>
  </si>
  <si>
    <r>
      <t>As per report submitted by entity vide its letter dated 20.05.2016 Entity is obligated under RPO in OA consumer category for FY 2015-16.</t>
    </r>
    <r>
      <rPr>
        <i/>
        <sz val="48"/>
        <rFont val="Arial"/>
        <family val="2"/>
      </rPr>
      <t>MEDA has considered GEC as per the report submitted by MSEDCL and not considered GEC submitted by obligated entity.</t>
    </r>
  </si>
  <si>
    <r>
      <t xml:space="preserve">MAHINDRA CIE Atomotive Ltd.            (Formerly known as Mahindra Hinoday Industries Limited )            P-857-860,CHAKAN AMBETHAN ROAD,TAL KHED, DIST PUNE CHAKAN-410501.
MSEDCL </t>
    </r>
    <r>
      <rPr>
        <b/>
        <sz val="48"/>
        <rFont val="Arial"/>
        <family val="2"/>
      </rPr>
      <t xml:space="preserve">Consumer No:176029030058
</t>
    </r>
  </si>
  <si>
    <t>No report has been submitted by entity. However GEC &amp; CD of entity have been considered from MSEDCL e-mail dated 06.06.2026</t>
  </si>
  <si>
    <t>No report has been submitted by entity. However GEC &amp; CD of entity have been considered from MSEDCL e-mail dated 06.06.2027</t>
  </si>
  <si>
    <r>
      <t xml:space="preserve">MAHINDRA HINODAY INDUSTRIES LTD                                               Gat#318, At Post Urse, Taluka Maval,
District Pune 410506 
 </t>
    </r>
    <r>
      <rPr>
        <b/>
        <sz val="48"/>
        <rFont val="Arial"/>
        <family val="2"/>
      </rPr>
      <t xml:space="preserve">Consumer No:181209030548
</t>
    </r>
  </si>
  <si>
    <t>As per report submitted by entity vide its letter dated 29.09.2018, Entity is obligated under RPO in OA consumer category for FY 2017-18 and have fulfilled Solar and Non-Solar RPO.</t>
  </si>
  <si>
    <t>As per report submitted by entity vide its letter dated 17.04.2019, Entity is obligated under RPO in OA consumer category for FY 2018-19 and have fulfilled Solar and Non-Solar RPO.</t>
  </si>
  <si>
    <t>As per report submitted by entity vide its letter dated 08.08.2018, entity have submitted solar RE procurement from their internal grid plant, MEDA  not consider the same.</t>
  </si>
  <si>
    <t>As per report submitted by entity vide its letter dated 27..08.2019, entity have submitted non solar RE procurement. Also entity have submitted solar power procurement from their internal grid plant,but MEDA  not consider their solar procurement and partially fulfilled the target.</t>
  </si>
  <si>
    <r>
      <t>As per report submitted by entity vide its letter dated 27.02.2019 Entity is obligated under RPO in OA consumer category for FY 2015-16.</t>
    </r>
    <r>
      <rPr>
        <i/>
        <sz val="48"/>
        <rFont val="Arial"/>
        <family val="2"/>
      </rPr>
      <t>MEDA has considered GEC as per the report submitted by TPC-D and not considered GEC submitted by obligated entity.</t>
    </r>
  </si>
  <si>
    <r>
      <t xml:space="preserve">NEOSYM INDUSTRY LTD.   
G1, Sanaswadi, Tal. Shirur, Dist. Pune 412210                                             </t>
    </r>
    <r>
      <rPr>
        <b/>
        <sz val="48"/>
        <rFont val="Arial"/>
        <family val="2"/>
      </rPr>
      <t>Consumer no.184819037730</t>
    </r>
  </si>
  <si>
    <t>As per report submitted by entity vide its letter dated 08.08.2016, Entity is obligated under RPO in OA consumer category for FY 2015-16.</t>
  </si>
  <si>
    <t xml:space="preserve">As per report submitted by entity vide its letter dated 18.07.2019 Entity is obligated under RPO in OA consumer category for FY 2017-18 and have  fulfilled Solar and Non-Solar RPO. </t>
  </si>
  <si>
    <t>As per report submitted by entity vide its letter dated 13.06.2018, Entity is obligated under RPO in OA consumer category for FY 2017-18 and have fulfilled Non solar and Solar RPO.</t>
  </si>
  <si>
    <t>As per report submitted by entity vide its e-mail dated 21.04.2021, Entity is obligated under RPO in OA consumer category for FY 2019-20 and have partially fulfilled Non solar and Solar RPO through non-solar RE, but no supporting document has been given.</t>
  </si>
  <si>
    <r>
      <t xml:space="preserve">Praxair India Pvt. Ltd.Plot no A-3, MIDC IND.  Area, Murbad, Dist- Thane-421401.          </t>
    </r>
    <r>
      <rPr>
        <b/>
        <sz val="48"/>
        <rFont val="Arial"/>
        <family val="2"/>
      </rPr>
      <t xml:space="preserve">Consumer No: 18019053600 </t>
    </r>
  </si>
  <si>
    <t>No report has been submitted by entity. However GEC &amp; CD of entity have been considered from MSEDCL e-mail dated 06.06.2020</t>
  </si>
  <si>
    <t xml:space="preserve">As per report submitted by entity vide its letter dated 31.05.2018, Entity is obligated under RPO in OA consumer category for FY 2017-18 and have fulfilled Solar and Non-Solar RPO. </t>
  </si>
  <si>
    <t xml:space="preserve">As per report submitted by entity vide its letter dated 31.08.2019, Entity is obligated under RPO in OA consumer category for FY 2018-19 and have fulfilled Solar and Non-Solar RPO. </t>
  </si>
  <si>
    <t xml:space="preserve">As per report submitted by entity vide its letter dated 26.10.2020, Entity is obligated under RPO in OA consumer category for FY 2019-20 and have fulfilled Solar and Non-Solar RPO. </t>
  </si>
  <si>
    <r>
      <t xml:space="preserve">Reliance Industries Limited                 MIDC Industrial,Patalganga, Rasayani-410207, dist-Raigad, </t>
    </r>
    <r>
      <rPr>
        <b/>
        <sz val="49"/>
        <rFont val="Arial"/>
        <family val="2"/>
      </rPr>
      <t>MSEDCL consumer no.031129010081</t>
    </r>
  </si>
  <si>
    <t xml:space="preserve">As per report submitted by entity vide its letter dated 21.08.2019, Entity is obligated under RPO in OA consumer category for FY 2018-19 and have  fulfilled Solar and Non-Solar RPO. </t>
  </si>
  <si>
    <t xml:space="preserve">As per report submitted by entity vide its letter dated 20.11.2020, Entity is obligated under RPO in OA consumer category for FY 2019-20 and have  partially fulfilled Solar and Non-Solar RPO. </t>
  </si>
  <si>
    <t>As per report submitted by entity vide its letter dated 25.06.2018, Entity is obligated under RPO in OA consumer category for FY 2017-18 and have fulfilled Solar and Non-Solar RPO.</t>
  </si>
  <si>
    <r>
      <t>As per report submitted by entity vide its letter dated 19.08.2017 Entity is obligated under RPO in OA consumer category for FY 2015-16.</t>
    </r>
    <r>
      <rPr>
        <i/>
        <sz val="48"/>
        <rFont val="Arial"/>
        <family val="2"/>
      </rPr>
      <t>MEDA has considered GEC as per the report submitted by MSEDCL and not considered GEC submitted by obligated entity.</t>
    </r>
  </si>
  <si>
    <r>
      <t xml:space="preserve">As per report submitted by entity vide its letter dated 29.04.2017, Entity is obligated under RPO in OA consumer category for FY 2016-17.Entity has submitted REC Certificates (Solar 64 nos,176 nos &amp; 125 nos) (Non-solar 640 nos,1775 nos &amp; 1244 nos). </t>
    </r>
    <r>
      <rPr>
        <i/>
        <sz val="48"/>
        <rFont val="Arial"/>
        <family val="2"/>
      </rPr>
      <t>MEDA has considered GEC as per the report submitted by MSEDCL and not considered GEC submitted by obligated entity.</t>
    </r>
  </si>
  <si>
    <t>As per report submitted by entity vide its letter dated 06.12.2018, Entity is obligated under RPO in OA consumer category for FY 2017-18 and have fulfilled Solar and Non-Solar RPO. Electricity consumption was only from april 2017 to oct 2017</t>
  </si>
  <si>
    <r>
      <t>As per report submitted by entity vide its letter dated 13.08.2016, Entity is obligated under RPO in OA consumer category for FY 2015-16.</t>
    </r>
    <r>
      <rPr>
        <i/>
        <sz val="48"/>
        <rFont val="Arial"/>
        <family val="2"/>
      </rPr>
      <t>MEDA has considered GEC as per the report submitted by MSEDCL and not considered GEC submitted by obligated entity.</t>
    </r>
  </si>
  <si>
    <r>
      <t>As per report submitted by entity vide its letter dated 04.05.2018, Entity is obligated under RPO in OA consumer category for FY 2016-17.</t>
    </r>
    <r>
      <rPr>
        <i/>
        <sz val="48"/>
        <rFont val="Arial"/>
        <family val="2"/>
      </rPr>
      <t>MEDA has considered GEC as per the report submitted by MSEDCL and not considered GEC submitted by obligated entity.</t>
    </r>
  </si>
  <si>
    <t>As per report submitted by entity vide its letter dated 04.05.2018, Entity is obligated under RPO in OA consumer category for FY 2017-18 and have partially fulfilled Solar and Non-Solar RPO.</t>
  </si>
  <si>
    <r>
      <t xml:space="preserve">Sify Technologies Ltd.                                  K-10, Kalwa Industrial Area, Airoli, Thane-Belapur Rd
Navi Mumbai -400708                                           </t>
    </r>
    <r>
      <rPr>
        <b/>
        <sz val="48"/>
        <rFont val="Arial"/>
        <family val="2"/>
      </rPr>
      <t>Consumer No:489024380</t>
    </r>
  </si>
  <si>
    <t>No report has been submitted by entity. However GEC &amp; CD of entity have been considered from MSEDCL e-mail dated 06.06.2028</t>
  </si>
  <si>
    <t xml:space="preserve">As per report submitted by entity vide its letter dated 04.07.2019, Entity is obligated under RPO in OA consumer category for FY 2017-18 and have  fulfilled Solar and Non-Solar RPO. </t>
  </si>
  <si>
    <r>
      <t xml:space="preserve">Sterlite Technologies Ltd.     E1,E2,E3,MIDC,Walunj, Aurangabad-431136.         MSEDCL   </t>
    </r>
    <r>
      <rPr>
        <b/>
        <sz val="48"/>
        <rFont val="Arial"/>
        <family val="2"/>
      </rPr>
      <t>Consumer No:490019007470.</t>
    </r>
  </si>
  <si>
    <t>As per report submitted by entity vide its letter dated 31.05.2018, Entity is obligated under RPO in OA consumer category for FY 2017-18 and has fulfilled Solar and Non-Solar RPO/Non-solar REC certificate missing</t>
  </si>
  <si>
    <r>
      <t>Entity mentioned in its letter dated 07.07.2016 they having obligation in OA category but,only REC certificates submitted &amp; GEC is not submitted .So entitiy is consider under RPO in OA consumer category for FY 2015-16.</t>
    </r>
    <r>
      <rPr>
        <i/>
        <sz val="48"/>
        <rFont val="Arial"/>
        <family val="2"/>
      </rPr>
      <t>MEDA has considered GEC as per the report submitted by MSEDCL.</t>
    </r>
  </si>
  <si>
    <t>3.3.</t>
  </si>
  <si>
    <t>As per report submitted by entity vide its letter dated 07.10.2020, Entity is obligated under RPO in OA consumer category for FY 2019-20 and have not fulfilled solar and non-solar RPO</t>
  </si>
  <si>
    <r>
      <t>As per report submitted by entity vide its letter dated 20.04.2016, Entity is obligated under RPO in OA consumer category for FY 2015-16.</t>
    </r>
    <r>
      <rPr>
        <i/>
        <sz val="48"/>
        <rFont val="Arial"/>
        <family val="2"/>
      </rPr>
      <t>MEDA has considered GEC as per the report submitted by MSEDCL and not considered GEC submitted by obligated entity.</t>
    </r>
  </si>
  <si>
    <t>As per report submitted by entity vide its letter dated 06.10.2020, Entity is obligated under RPO in OA consumer category for FY 2019-20 and have partially fulfilled solar and non-solar RPO.They are claiming that against the RPO requirement quantum of 7181 nos of Non-Solar RECs &amp; 2196 nos of solar RECs, they have purchased 4112 non solar &amp; 282 solar RECs till 06.10.2020 but no REC certificates has been submitted.</t>
  </si>
  <si>
    <t>As per report submitted by entity vide its letter dated 05.10.2018, Entity is obligated under RPO in OA consumer category for FY 2017-18 and have fulfilled solar and non-solar RPO.</t>
  </si>
  <si>
    <t>As per report submitted by entity vide its letter dated 21.05.2019, Entity is obligated under RPO in OA consumer category for FY 2018-19 and have fulfilled solar and non-solar RPO.</t>
  </si>
  <si>
    <r>
      <t xml:space="preserve">TECHNOVA imaging System Pvt Ltd., Plot no. T-4, MIDC, Taloja, Dist- Raigad- 410 208.  </t>
    </r>
    <r>
      <rPr>
        <b/>
        <sz val="48"/>
        <rFont val="Arial"/>
        <family val="2"/>
      </rPr>
      <t>Consumer No:28619033260</t>
    </r>
  </si>
  <si>
    <t>As per report submitted by entity vide its letter dated 30.03.2018, Entity is obligated under RPO in OA consumer category for FY 2017-18 and have partially fulfilled Solar and Non-Solar RPO.</t>
  </si>
  <si>
    <r>
      <t>As per report submitted by entity vide its letter dated 02.05.2017, Entity is obligated under RPO in OA consumer category for FY 2016-17.Entity has submitted REC Certificates (Solar 44 nos &amp; 31 nos) (Non-solar 439 nos &amp; 306 nos).</t>
    </r>
    <r>
      <rPr>
        <i/>
        <sz val="48"/>
        <rFont val="Arial"/>
        <family val="2"/>
      </rPr>
      <t>MEDA has considered GEC as per the report submitted by MSEDCL and not considered GEC submitted by obligated entity.</t>
    </r>
  </si>
  <si>
    <r>
      <t xml:space="preserve">As per report submitted by entity vide its letter dated 15.04.2017, Entity is obligated under RPO in OA consumer category for FY 2016-17. </t>
    </r>
    <r>
      <rPr>
        <i/>
        <sz val="48"/>
        <rFont val="Arial"/>
        <family val="2"/>
      </rPr>
      <t>MEDA has considered GEC as per the report submitted by MSEDCL and not considered GEC submitted by obligated entity.</t>
    </r>
  </si>
  <si>
    <t xml:space="preserve">As per report submitted by entity vide its letter dated 27.04.2018, Entity is obligated under RPO in OA consumer category for FY 2017-18 and have  fulfilled Solar and Non-Solar RPO. </t>
  </si>
  <si>
    <t>As per report submitted by entity vide its letter dated 23.05.2019, Entity is obligated under RPO in OA consumer category for FY 2018-19 and have partially fulfilled Solar and Non-Solar RPO. 83 out of 360 Non-solar REC &amp; 503 Solar REC out of 554 is used to fulfill shortfall of FY 2017-18 &amp; remaing is used to fulfilment of RPO of FY 2018-19.</t>
  </si>
  <si>
    <t>As per report submitted by entity vide its latest letter dated18.01.2021, Entity is obligated under RPO in OA consumer category for FY 2019-20 and have partially fulfilled Solar and Non-Solar RPO. 77 out of 78 solar REC purchsed in april is used to fill shortfall of previous years &amp; 37 Non-Solar REC of previous year is carried forward in this year.</t>
  </si>
  <si>
    <t>As per report submitted by entity vide its letter dated 23.05.2019, Entity is obligated under RPO in OA consumer category for FY 2018-19 and have partially fulfilled Solar and Non-Solar RPO. 1232 out of 1242 Solar REC &amp; 108 Non-Solar REC of April 2018 is used to fulfil shortfall of FY 2017-18.Entity submits GEC is 55.492MU &amp; solar RE of 1.031MU but no supporting documents submitted so MEDA didnt considered it.</t>
  </si>
  <si>
    <t>As per report submitted by entity vide its latest letter dated 18.01.2021, Entity is obligated under RPO in OA consumer category for FY 2019-20 and have  partially fulfilled Solar and Non-Solar RPO. 59 out of 70 Solar REC of April 2019 is used to fulfil shortfall of FY 2018-19 &amp; 49 Non-Solar REC of March 2019 is used to fulfil shortfall of FY 2019-20</t>
  </si>
  <si>
    <r>
      <t xml:space="preserve">Venus Wire Industries Pvt Ltd,    Unit No.2002, 20th Floor Tower No. 3 Indiabulls Finance Centre, Senapati Bapat Marg,, Mumbai, Maharashtra 400013                            </t>
    </r>
    <r>
      <rPr>
        <b/>
        <sz val="48"/>
        <rFont val="Arial"/>
        <family val="2"/>
      </rPr>
      <t>Consumer No:31709017686</t>
    </r>
  </si>
  <si>
    <t>No report has been submitted by entity. However GEC &amp; CD of entity have been considered from MSEDCL e-mail dated 06.06.2019</t>
  </si>
  <si>
    <t>As per report submitted by entity vide its letter dated 12.04.2021, Entity is obligated under RPO in OA consumer category for FY 2018-19. However the entity does not fulfils the RPO.capacity has been taken from MSEDCL list.</t>
  </si>
  <si>
    <t>As per report submitted by entity vide its letter dated 12.04.2021, Entity is obligated under RPO in OA consumer category for FY 2019-20. However the entity does not fulfils the RPO.</t>
  </si>
  <si>
    <t>No report has been submitted by entity. However GEC &amp; CD of entity have been considered from MSEDCL e-mail dated 06.06.2018</t>
  </si>
  <si>
    <r>
      <t>As per report submitted by entity vide its letter dated 18.08.2016 Entity is obligated under RPO in OA consumer category for FY 2015-16.</t>
    </r>
    <r>
      <rPr>
        <b/>
        <sz val="48"/>
        <rFont val="Arial"/>
        <family val="2"/>
      </rPr>
      <t>"</t>
    </r>
    <r>
      <rPr>
        <b/>
        <i/>
        <sz val="48"/>
        <rFont val="Arial"/>
        <family val="2"/>
      </rPr>
      <t>REC proofs not submitted"</t>
    </r>
    <r>
      <rPr>
        <sz val="48"/>
        <rFont val="Arial"/>
        <family val="2"/>
      </rPr>
      <t>.</t>
    </r>
    <r>
      <rPr>
        <i/>
        <sz val="48"/>
        <rFont val="Arial"/>
        <family val="2"/>
      </rPr>
      <t>MEDA has considered GEC as per the report submitted by MSEDCL and not considered GEC submitted by obligated entity.</t>
    </r>
  </si>
  <si>
    <t>Captive Power Project</t>
  </si>
  <si>
    <t>Capacity (in MW)</t>
  </si>
  <si>
    <t>Verififcation  from CEI</t>
  </si>
  <si>
    <t xml:space="preserve">Entity vide its letter dated 30.10.2015 submitted the RPO data and RE Procurement details. Entity has fulfilled the RPO by procuring S / NS RECs. </t>
  </si>
  <si>
    <t>Report submitted by entity through mail dated 11th July 2019 ,  entity is considered under RPO obligation in CPP category for FY 2015-16 and have fulfilled solar and non-solar RPO obligation.</t>
  </si>
  <si>
    <t>Capacity &amp; GEC Verified by CEI &amp; same is updated By MEDA.</t>
  </si>
  <si>
    <t>As per report submitted by entity vide its letter dated 15.04.2017 Entity is obligated under RPO in CPP category for FY 2016-17.</t>
  </si>
  <si>
    <t>As per report submitted by entity vide its letter dated 27.4.2018, Entity is obligated under RPO in CPP consumer category in FY 2017-18 and has fulflled Solar and non solar RPO.Further 0.6MW solar plant connected to internal grid their generation not considered for solar RPO fullfilment.</t>
  </si>
  <si>
    <t>Entity vide its letter dated 24.10.2015 mentioned that they are having 30MW CPP as a cogeneration plant and certificate to that effect from PWD (Elec.) dated 19.06.2013 submitted. As per the certificate only (2+2) 4MW is connected to WHRB and rest is to (2x13) 26MW to AFBC Boiler.</t>
  </si>
  <si>
    <t>As per report submitted by entity vide its letter dated 02.04.2018, Entity is obligated under RPO in CPP category for FY 2016-17</t>
  </si>
  <si>
    <t xml:space="preserve">Topworth Urja &amp; Metals Ltd.,Office No.126-128,1st floor,Shriram Tower,Kingsway,Sadar, Near NIT office,Nagpur-440001.Consumer no.410039005810                                 </t>
  </si>
  <si>
    <t xml:space="preserve">As per report submitted by entity vide its letter dated 06.04.2018, Entity has 4 MW of waste heat recovery based cogen and 26 MW of AFBC boiler based CPP. They claimed that their WHRB based generation is less than 5 MW so not comes under RPO and power generation through AFBC is connected to grid and completely sold to thrid party </t>
  </si>
  <si>
    <t>As per report submitted by entity vide its letter dated 26.08.2019, Entity has 4 MW of waste heat recovery based cogen and 26 MW of AFBC boiler based CPP.  MEDA have taken the CA certified values submitted by entity.</t>
  </si>
  <si>
    <t>As per report submitted by entity vide its letter dated 15.10.2020, Entity has 4 MW of waste heat recovery based cogen and 26 MW of AFBC boiler based CPP. . MEDA have taken the CA certified values submitted by entity.</t>
  </si>
  <si>
    <t>Entity vide its letter dated 31.10.2015 mentioned that they are having 7.6MW CPP &amp; 10MW power procuring from its own plant from ratnagiri under open access ,  entity has submitted only GEC and has not fulfilled the RPO.</t>
  </si>
  <si>
    <t>As per report submitted by entity vide its letter dated 13.04.2017 Entity is obligated under RPO in CPP category for FY 2015-16 and have fulfilled RPO obligation.</t>
  </si>
  <si>
    <t>JSW Steel Coated Products Ltd.                 Village Vashind Tal.Shahapur  Dist Thane– 421604                    Consumer no.015519010981</t>
  </si>
  <si>
    <t>As per report submitted by entity vide its letter dated 30.04.2019 Entity is obligated under RPO in CPP category for FY 2016-17.Entity have procured total 1671 nos of Solar &amp; 8771 nos of Non-solar REC out of this they have utilized for CPP unit 0.002Mus for solar &amp; 0.025Mus for Non-solar ,remaining RECs use for fulfilmet of OA obligation for FY 2016-17.</t>
  </si>
  <si>
    <t xml:space="preserve">As per report submitted by entity vide its letter dated 30.04.2019 Entity is obligated under RPO in CPP category for FY 2017-18.Entity have purchase total Non-Solar REC's 8771 nos  &amp; Solar REC's 1671 nos out of that they have requested to consider 2nos Solar REC's &amp; 12 nos of Non-Solar REC's for  DG Generation RPO fulfilment. </t>
  </si>
  <si>
    <t>As per report submitted by entity vide its letter dated 26.09.2019 Entity is obligated under RPO in CPP category for FY 2018-19 and fulfilled their RPO.1452 out of 1474 Non-solar REC &amp; 723 Solar REC out of 728 is used to fulfill shortfall of OA Category &amp; remaing is used to fulfilment of RPO of CPP category for FY 2018-19.By their email dtd 16.07.2021 had informed thay the commissioning year is 1997. no supporting documents submitted &amp; MEDA have considered the same for commissioning date.</t>
  </si>
  <si>
    <t>Uttam Value Steel Limited (formerly known as Lloyds Steel Industries Limited) House no. M-1, Value Steel Colony, Bhugaon link road, Wardha- 442 001</t>
  </si>
  <si>
    <t>Entity vide its letter dated 17.11.2015 mentioned that they are having 85MW CPP at Wardha, entity has submitted only GEC and has not fulfilled the RPO.</t>
  </si>
  <si>
    <t>No report submitted by entity but, as per previous record entity is considered under RPO obligation in CPP category for FY 2015-16</t>
  </si>
  <si>
    <t>As per report submitted by entity vide its letter dated 12.06.2017, Entity is obligated under RPO in CPP category for FY 2016-17.</t>
  </si>
  <si>
    <t>Entity not submitted any report. Entity is obligated under RPO in CPP category for FY 2017-18.</t>
  </si>
  <si>
    <t>Report not submitted</t>
  </si>
  <si>
    <t>Entity vide its letter dated 30.10.2015 mentioned that they are having 2 plants as Manikgarh Cement CPP- 15MW &amp; Manikgarh Cement Unit -2 CPP- 60MW at Chandrapur, entity has submitted only GEC and has  fulfilled the non solar RPO.</t>
  </si>
  <si>
    <t>Report submitted by entity through email dated 11th July 2019 ,  Entity is obligated under RPO in CPP category for FY 2015-16 and have fulfilled non-solar RPO obligation.</t>
  </si>
  <si>
    <t>As per report submitted by entity vide its letter dated 20.04.2017 Entity is obligated under RPO in CPP category for FY 2016-17.</t>
  </si>
  <si>
    <t>As per report submitted by entity vide its letter dated 10.04.2018 Entity is obligated under RPO in CPP category for FY 2017-18 and has not fulfilled RPO.</t>
  </si>
  <si>
    <t>As per report submitted by entity vide its letter dated 20.08.2019 Entity is obligated under RPO in CPP category for FY 2018-19 &amp; had partially fulfilled the target.3809 out of 9130 Solar &amp; 4319 out of 32263Non-solar REC are used to fulfill FY2018-19 target &amp; rest is used for earlier FY 2017-18.Entity vide their email provided commissiong date as september 2014 &amp; MEDA have considered the same for commissioning date</t>
  </si>
  <si>
    <t>Entity submitted NIL GEC in their report vide its letter dated 20.04.2017 Entity is obligated under RPO in CPP category for FY 2016-17.</t>
  </si>
  <si>
    <t>Capacity is verified from CEI report and remarked that the plant has been closed</t>
  </si>
  <si>
    <t>As per report submitted by entity vide its final letter dated 24.04.2019, mentiones the GEC as nil throughout the year and uses it only on need basis. Entity vide email submitted commissioning date as march 1994(5MW) and january 2005(10MW) &amp; MEDA had considered the same.</t>
  </si>
  <si>
    <t>JSW Steel Coated Products Ltd.                 B/6, Tarapur MIDC Industrial Area, Navapur road, Boisar, Dist: Thane– 401 506</t>
  </si>
  <si>
    <t>Entity vide its letter dated 29.10.2015 mentioned that they are having 37.5MW CPP &amp; further entity has partially fulfilled the RPO by procuring S / NS RECs.</t>
  </si>
  <si>
    <t>As per report submitted by entity vide its letter dated 27.04.2017 entity has fulfilled the RPO by procuring S / NS RECs.</t>
  </si>
  <si>
    <t>As per report submitted by entity vide its letter dated 27.04.2017 Entity is obligated under RPO in CPP category for FY 2016-17.</t>
  </si>
  <si>
    <t>Capacity and GEC verified by CEI report and same taken by MEDA</t>
  </si>
  <si>
    <t xml:space="preserve">As per letter submitted by entity vide its letter dated 27.06.2019, entity is obligated under RPO CPP category 2017-18. </t>
  </si>
  <si>
    <t xml:space="preserve">Capacity and GEC verified by CEI report and same taken by MEDA </t>
  </si>
  <si>
    <t>Entity not submitted any report. Entity is obligated under RPO in CPP category for FY 2018-19.Entity vide their email dtd 16.07.2021 had informed thay the commissioning year is 2000. no supporting documents submitted &amp; MEDA have considered the same for commissioning date..</t>
  </si>
  <si>
    <t>Entity not submitted any report. Entity is obligated under RPO in CPP category for FY 2019-20.Entity vide their email dtd 16.07.2021 had informed thay the commissioning year is 2000. no supporting documents submitted &amp; MEDA have considered the same for commissioning date..</t>
  </si>
  <si>
    <t>Indorama Synthetics 
A-31, MIDC Industrial Area, Butibori, Nagpur – 441 122</t>
  </si>
  <si>
    <t>Entity vide its letter dated 04.11.2015 mentioned that they are having (31+40) 71MW CPP out of which 40MW is cogeneration but certificate to that effect not submitted. Only GEC submitted but not fulfilled the RPO.</t>
  </si>
  <si>
    <t xml:space="preserve">ACC Cement,                                Chndra Cement Works,Cement Nagar,Ghuggus,Taluka &amp; Dist-Chandrapur- 442502    </t>
  </si>
  <si>
    <t>As per report submitted by CEI vide their letter dated 05.10.2018 entity considered under RPO obligation  in CPP category for FY 2016-17.</t>
  </si>
  <si>
    <t>Bharat Petroleum Corporation Ltd. ,Unit GT#1,2&amp;3/CPP,Mumbai Refinery, Mahul, Mumbai-400074</t>
  </si>
  <si>
    <t xml:space="preserve">As per report submitted by entity vide its letter dated 29.03.2018 &amp; 25.02.2019.Entity have purchased total Solar RECs 19322 nos &amp; actual required for FY 2016-17 is 6028 nos for fulfillment,excess RECs will use in FY 2017-18 fulfillment. </t>
  </si>
  <si>
    <t xml:space="preserve">Bilt Graphic Paper Products Ltd.(Unit-Ballarpur)                     PO Ballarpur, Paper Mills,Dist-Chandrapur,Maharashtra -442901.                                  </t>
  </si>
  <si>
    <t>Entity mentioned in their letter dated  17.08.2019 having Biomass based plant (40MW) in ballarpur (Chandrapur) annually generated  110.23 Mus RE power &amp; 27.5MW capacity fossil fuel based Co-generation plant. Entity is obligated under RPO in CPP category for FY 2016-17.</t>
  </si>
  <si>
    <t xml:space="preserve">Bilt Graphic Paper Products Ltd.(Unit-Bhigwan)              Village Bhadalwadi,Paudhwadi,Post Bhigwan (NH9),Tal.Indapur,Dist.Pune-413105.                                  </t>
  </si>
  <si>
    <t xml:space="preserve">As per report submitted by entity vide its letter dated 28.10.2020, Entity is obligated under RPO in CPP category for FY 2019-20 and have  not  fulfilled RPO target. vide their e-mail dtd 16.07.2021 they had informmed about commissioning date as 15.06.1998 &amp; 03.0.2009 with supporting documents &amp; MEDA have considered the same for commissioning date. </t>
  </si>
  <si>
    <t xml:space="preserve">BIRLA CARBON INDIA PRIVATE LIMITED (Formely known as SKI Carbon Black (India) Pvt. Ltd.)
(Unit: Tech Carbon. Patalganga), Village: Lohop, Talvali, Patalganga, Tal: Khalapur, Dist: Raigard - 410207
</t>
  </si>
  <si>
    <t>As per report submitted by entity vide its letter dated 06.04.2018 Entity is obligated under RPO in CPP category for FY 2016-17.</t>
  </si>
  <si>
    <t>As per report submitted by entity vide its letter dated 20.08.2019 Entity is obligated under RPO in CPP category for FY 2018-19. Entity has not fulfilled the RPO obligation as they are claiming that as per order of case no. 68 of 2019, they have time till March 2020 to fulfil their RPO.Entity has submitted self certified report of commissioning years as 1962, 1967, 1969 &amp; 2015 &amp; we have considered the same for commissioning date</t>
  </si>
  <si>
    <t>Century Rayon,(Under the management &amp; operation of Grasim Industries Limited), Murbad Road, Shahad, Dist. Thane 421103.                       Consumer no.020169009679</t>
  </si>
  <si>
    <t>Entity not submitted any report. Entity is obligated under RPO in CPP category for FY 2019-20..Entity has submitted self certified report of commissioning years as 1962, 1967, 1969 &amp; 2015 &amp; we have considered the same for commissioning date</t>
  </si>
  <si>
    <t xml:space="preserve">Deepak Fertilizers &amp; Chemicals Corpo. Ltd.                                               Plot K-1, M.I.D.C Industrial Area, P.O.Taloja , Dist: Raigad-410 208
                                                          </t>
  </si>
  <si>
    <t>Deepak Fertilizers &amp; Petrochemicals Corpo. Ltd.                                               Plot K-1, M.I.D.C Industrial Area, P.O.Taloja , Dist: Raigad-410 208</t>
  </si>
  <si>
    <r>
      <t>As per report submitted by entity vide its letter dated 23.08.2019 Entity is obligated under RPO in CPP category for FY 2018-19. Entity has not fulfilled the RPO obligation as they are claiming that as per order of case no. 68 of 2019, they have time till March 2020 to fulfil their RPO.By their letter dtd. 20.04.2021 they claim that they have capacity of 10.2MW which is commissioned on 06.09.2018.</t>
    </r>
    <r>
      <rPr>
        <b/>
        <sz val="12"/>
        <rFont val="Times New Roman"/>
        <family val="1"/>
      </rPr>
      <t>Hence RPO target will be as per FY 2018-19 i.e solar 2.75% and non-solar 11%.</t>
    </r>
    <r>
      <rPr>
        <sz val="12"/>
        <rFont val="Times New Roman"/>
        <family val="1"/>
      </rPr>
      <t xml:space="preserve"> </t>
    </r>
  </si>
  <si>
    <r>
      <t>As per report submitted by entity vide its letter dated 13.10.2020 Entity is obligated under RPO in CPP category for FY 2019-20. Entity has not fulfilled the RPO obligation,By their letter dtd. 20.04.2021 they claim that they have capacity of 10.2MW which is commissioned on 06.09.2018.</t>
    </r>
    <r>
      <rPr>
        <b/>
        <sz val="12"/>
        <rFont val="Times New Roman"/>
        <family val="1"/>
      </rPr>
      <t>Hence RPO target will be as per FY 2018-19 i.e solar 2.75% and non-solar 11%.</t>
    </r>
    <r>
      <rPr>
        <sz val="12"/>
        <rFont val="Times New Roman"/>
        <family val="1"/>
      </rPr>
      <t xml:space="preserve"> </t>
    </r>
  </si>
  <si>
    <t>As per report submitted by entity vide its letter dated 17.08.2019 Entity is obligated under RPO in CPP category for FY 2018-19. Entity has not fulfilled the RPO obligation as they are claiming that as per order of case no. 68 of 2019, they have time till March 2020 to fulfil their RPO.Entity vide their e-mail dtd.21.04.2021 states that their commissioning date is 17.12.2009 and provided supporting document  &amp; we have considered the same for commissioning date..</t>
  </si>
  <si>
    <t>Finolex Industries Ltd. PVC Resin Project Ranpar Golap Tal &amp; Dist. Ratnagiri- 415616                Consumer no.21329006811</t>
  </si>
  <si>
    <t>As per report submitted by entity vide its letter dated 12.04.2017 Entity is obligated under RPO in CPP category for FY 2016-17.</t>
  </si>
  <si>
    <t>As per report submitted by entity vide its letter dated 06.04.2018, Entity is obligated under RPO in CPP category for FY 2017-18 and claimed that they will submit RPO fulfilment data after declaration of decision from MERC on petition.</t>
  </si>
  <si>
    <t>Gopani Iron &amp; Power (India) Pvt. Ltd. A-22,M.I.D.C.Growth Centre, Post- Tadali, Dist. Chandrapur - 442406</t>
  </si>
  <si>
    <t>As per report submitted by entity vide its letter dated 13.04.2017 Entity is obligated under RPO in CPP category for FY 2016-17.</t>
  </si>
  <si>
    <t>As per report submitted by entity vide its letter dated 01.07.2019 Entity is obligated under RPO in CPP category for FY 2017-18.However, entity claimed that they should not be considered under RPO as they are generating power from WHRB and AFBC in which industrial waste (i.e. dolachar) are used.</t>
  </si>
  <si>
    <t>H &amp; R Johnson (India), a Div of Prism Cement Ltd.Khardevali, Gadab, Mumbai - Goa road; Tal: Pen, Dist: Raigad-</t>
  </si>
  <si>
    <t>As per report submitted by entity vide its letter dated 19.07.2018, Entity is obligated under RPO in CPP category for FY 2017-18 and has partially fulfilled RPO. Copy of REC certifficates purchased attached is less than claimed in a format.</t>
  </si>
  <si>
    <t xml:space="preserve"> Entity is not mentioned in CEI Report</t>
  </si>
  <si>
    <r>
      <t>As per report submitted by entity vide its letter dated 16.03.2021 &amp; 12.04.2021, Entity is obligated under RPO in CPP consumer category for FY 2019-20 and have  partially fulfilled .Entity through their recent letter in mail dtd. 24.05.2021 mentiones capacity as 7500KVA (6 MW) and provided commissiong dt as 05.05.2017..</t>
    </r>
    <r>
      <rPr>
        <b/>
        <sz val="12"/>
        <color indexed="8"/>
        <rFont val="Times New Roman"/>
        <family val="1"/>
      </rPr>
      <t>Hence RPO target will be as per FY 2017-18 i.e solar 2.% and non-solar 10.5%. .</t>
    </r>
  </si>
  <si>
    <r>
      <t>As per report submitted by entity vide its letter dated 12.04.2021 Entity is obligated under RPO in CPP category for FY 2018-19 and have partially fulfilled RPO targ</t>
    </r>
    <r>
      <rPr>
        <sz val="12"/>
        <color indexed="8"/>
        <rFont val="Times New Roman"/>
        <family val="1"/>
      </rPr>
      <t>et.Entity through their recent letter in mail dtd. 24.05.2021 mentiones capacity as 7500KVA (6 MW) and provided commissiong dt as 05.05.2017..</t>
    </r>
    <r>
      <rPr>
        <b/>
        <sz val="12"/>
        <color indexed="8"/>
        <rFont val="Times New Roman"/>
        <family val="1"/>
      </rPr>
      <t xml:space="preserve">Hence RPO target will be as per FY 2017-18 i.e solar 2.% and non-solar 10.5%. </t>
    </r>
  </si>
  <si>
    <t>As per report submitted by entity vide its letter dated 26.03.2018, Entity is obligated under RPO in CPP category for FY 2017-18 and claimed that they will submit RPO fulfilment data after declaration of decision from MERC on petition.</t>
  </si>
  <si>
    <t>Entity not submitted any report. Entity is obligated under RPO in CPP category for FY 2018-19.</t>
  </si>
  <si>
    <t>Entity not submitted any report. Entity is obligated under RPO in CPP category for FY 2019-20.</t>
  </si>
  <si>
    <t>As per report submitted by entity vide its letter dated 21.11.2018  Entity is obligated under RPO in CPP category for FY 2017-18 and has not fulfilled RPO.</t>
  </si>
  <si>
    <t>Lloyds Metal &amp; Energy Ltd.Plot No.A 1-2,MIDC Area Ghugus, Dist.Chandrapur 442505.</t>
  </si>
  <si>
    <t>As per report submitted by entity vide its letter dated 31.03.2018, Entity claimed that their plant not comes under RPO in CPP category for FY 2017-18 as they are using industrial waste for power generation as a raw material.</t>
  </si>
  <si>
    <t>M/s Sanvijay Alloys And Power Ltd. (Formerly known as M/s Grace Industries Ltd.                A-23,MIDC, Growth Center,Tadali,Taluka-&amp;District-Chandrapur-442406</t>
  </si>
  <si>
    <t xml:space="preserve">Oil And Natural Gas Corporation Ltd.         Mumbai Region,Uran plant, Uran Navi Mumbai - 400702 </t>
  </si>
  <si>
    <t>Entity named is not found in CEI report</t>
  </si>
  <si>
    <t>As per report submitted by entity vide its letter dated 13.04.2018 Entity is obligated under RPO in CPP category for FY 2017-18 and has partially fulfilled non solar RPO .</t>
  </si>
  <si>
    <t>Rashtriya Chemical &amp; Fertilizers Ltd.                        Thal Unit, Alibag, Dist. Raigad 402208</t>
  </si>
  <si>
    <t>Reliance Industries Ltd. ,Nagothane , Tal &amp; Dist. Raigad - 402125</t>
  </si>
  <si>
    <t>As per report submitted by entity vide its letter dated 30.07.2019, entity have not submitted any data just informed that they filed application before MERC and request for additional time till any decision.</t>
  </si>
  <si>
    <t>As per report submitted by entity vide its letter dated 31.07.2019, entity have not submitted any data just informed that they filed application before MERC and request for additional time till any decision.</t>
  </si>
  <si>
    <t>As per report submitted by entity vide its letter dated 20.08.2019 Entity is obligated under RPO in CPP category for FY 2018-19. Entity has not fulfilled the RPO obligation as they are claiming that as per order of case no. 68 of 2019, they have time till March 2020 to fulfil their RPO.Entity vide their self certified letter dtd. 15.07.2021 entity had provided the commissioning date as 31.05.1990 &amp; 28.12.1989 and MEDA have considered the same for commissioning date.</t>
  </si>
  <si>
    <t>As per report submitted by entity vide its letter dated 30.03.2018 Entity is obligated under RPO in CPP category for FY 2016-17.</t>
  </si>
  <si>
    <t>Sun Flag Iron &amp; Steel Co. Ltd.                                                    Bhandara Road, Warthi, Bhandara-441905               Consumer no. 430019002645</t>
  </si>
  <si>
    <t>Vide its letter dated 13.04.2017 submitted only GEC. Entity is obligated under RPO in CPP category for FY 2016-17.</t>
  </si>
  <si>
    <t>As per report submitted by entity vide its letter dated 26.08.2019 they are grid connected CPP having co-gen facility.They have not provided RPO, Entity is obligated under RPO in CPP category for FY 2018-19 and not fulfilled the RPO.</t>
  </si>
  <si>
    <t>Suryalaxmi Cotton Mills Ltd, 9Km,Ramtek Mouda Road, Vg. Nagardhan,Ramtek Dist Nagpur-441106.</t>
  </si>
  <si>
    <t>TATA STEEL BSL LIMITED(formerly known as Bhushan Steel Limited) Isamba Phata Khopoli Pen Road Post:Sajgaon Tal:Khalapur, Dist:Raigad 410203</t>
  </si>
  <si>
    <t xml:space="preserve"> GEC taken from   report submitted by Plant whereas in CEI report capacity is mentioned as 36.56 MW and GEC is 74.67MUs. </t>
  </si>
  <si>
    <t>As per report submitted by entity vide its letter dated 29.08.2019 Entity is obligated under RPO in CPP category for FY 2018-19. Entity submitted incomplete data - capacity of plant not mentioned in their report,.As per their e-mail dtd 23.04.2021 they have submitted supporting document stating commencement date as 02.08.2003 &amp; we have considered the same for commissioning date.</t>
  </si>
  <si>
    <t>Technocraft Industries (India) Ltd.                          A-25,M.I.D.C,Street No.3,Marol Industries Area,Opp.E.S.I.S.Hospital,Andheri (E),Mumbai-400093.</t>
  </si>
  <si>
    <t>Capacity is considered from entity submitted report.</t>
  </si>
  <si>
    <t>Entity vide its letter dated 25.04.2017 informed about they have WHRB 15MW Co-generation. Entity is obligated under RPO in CPP category for FY 2016-17.</t>
  </si>
  <si>
    <t>Capacity is considered from plant report submitted in FY 2016-17 whereas in CEI report capacity is mentioned as below 5 MW.</t>
  </si>
  <si>
    <t>As per report submitted by entity vide its letter dated 27.03.2018, Entity informed that they filed application before MERC and request for additional time till any decision.</t>
  </si>
  <si>
    <t>UltraTech Cement Limited (formerly known as Manikgarh Cement unit-II),
P.O. Gadchandur, Taluka: Korpana, Dist:Chandrapur - 442 908</t>
  </si>
  <si>
    <t>As per report submitted by entity vide its letters dated 22.10.2019 &amp; 16.02.2021, Entity is obligated under RPO in CPP category for FY 2019-20 and have not fulfilled RPO target.Entity vide email submitted commissioning date as march 1994(5MW) and january 2005(10MW) &amp; MEDA had considered the same.</t>
  </si>
  <si>
    <t>Uttam Galva Metallics Ltd. ,                                          Bhugaon Link Road, Bhugaon, Wardha-442001.</t>
  </si>
  <si>
    <t>As per report submitted by entity vide its letter dated 14.06.2017 &amp; 26.03.2018 Entity is obligated under RPO in CPP category for FY 2016-17.</t>
  </si>
  <si>
    <t>As per report submitted by entity vide its letter dated 26.03.2018,  Entity is obligated under RPO in CPP category for FY 2017-18 and claimed that they will submit RPO fulfilment data after declaration of decision from MERC on petition.</t>
  </si>
  <si>
    <t>As per report submitted by entity vide its letter dated 10.10..2019. Entity is obligated under RPO in CPP category for FY 2019-20. Entity has not fulfilled the RPO obligation their report mentions capacity as 15MW and GEC as 99.53 which is not CA verified. Also they had submitted in letter dtd. 04.11.2020 about change in control/management of the company.By their email dtd. 30.04.2021 they are self certified copy stating their commissioning date as 19.05.2011 for 15MW &amp; we have considered the same for commissioning date.</t>
  </si>
  <si>
    <t xml:space="preserve">Uttam Galva Steels Ltd.     Village-Donvat, khopoli Pen  Road, Tal Khalapur, Dist. Raigad-410202
</t>
  </si>
  <si>
    <r>
      <t xml:space="preserve">As per report submitted by entity vide its letter dated 21.01.2020, Entity is obligated under RPO in CPP category for FY 2018-19 and have not fulfilled RPO target. Entity vide its e-mail dtd 30.04.2021 submitted permission for grid connectivity and synchronization report with letter of issue date 03.08.2017. </t>
    </r>
    <r>
      <rPr>
        <b/>
        <sz val="12"/>
        <rFont val="Times New Roman"/>
        <family val="1"/>
      </rPr>
      <t>Hence RPO target will be as per FY 2017-18 i.e solar 2% and non-solar 10.5%.</t>
    </r>
  </si>
  <si>
    <t>Vinati Organics Ltd. ,
 Plot no. A-20, MIDC, Indl Area, Lote Parshram, Tal-khed, Dist-Ratnagiri-415722(Maharashtra)</t>
  </si>
  <si>
    <r>
      <t xml:space="preserve">As per report submitted by entity vide its letter dated14.08.2020 Entity is obligated under RPO in CPP category for FY 2019-20 and have  not fulfilled RPO target.Entity vide its e-mail dtd 30.04.2021 submitted permission for grid connectivity and synchronization report with letter of issue date 03.08.2017. </t>
    </r>
    <r>
      <rPr>
        <b/>
        <sz val="12"/>
        <rFont val="Times New Roman"/>
        <family val="1"/>
      </rPr>
      <t>Hence RPO target will be as per FY 2017-18 i.e solar 2% and non-solar 10.5%</t>
    </r>
  </si>
  <si>
    <t>VVF India Limited            Plot No. V-41, MIDC Taloja, Tal. Panvel, Dist. Raigad 410208</t>
  </si>
  <si>
    <r>
      <t>As per report submitted by entity vide its letter dated 30.04.2021 Entity is obligated under RPO in CPP category for FY 2018-19 and have not fulfilled RPO tar</t>
    </r>
    <r>
      <rPr>
        <sz val="12"/>
        <color indexed="8"/>
        <rFont val="Times New Roman"/>
        <family val="1"/>
      </rPr>
      <t>get.Entity provided commissiong dt as 25.04.2012 with supporting documents &amp; MEDA have considered the same for commissioning date</t>
    </r>
  </si>
  <si>
    <t xml:space="preserve">MSEDCL has verified  &amp; submitted GEC before loss. </t>
  </si>
  <si>
    <r>
      <t>Entity vide its letter dated 30.04.2015 submitted the RPO data and RE Procurement details. Entity has fulfilled the RPO by procuring S / NS RECs.</t>
    </r>
    <r>
      <rPr>
        <i/>
        <sz val="48"/>
        <rFont val="Arial"/>
        <family val="2"/>
      </rPr>
      <t xml:space="preserve">MEDA has not considered GEC submitted by obligated entity. </t>
    </r>
  </si>
  <si>
    <t>C</t>
  </si>
  <si>
    <t>S</t>
  </si>
  <si>
    <r>
      <t xml:space="preserve">Entity vide ts letter dated 27.03.2015 submitted the RPO data and RE Procurement details upto IIIrd qtr only for FY 2014-15. Entity has fulfilled the RPO by procuring S / NS RECs. </t>
    </r>
    <r>
      <rPr>
        <i/>
        <sz val="48"/>
        <rFont val="Arial"/>
        <family val="2"/>
      </rPr>
      <t xml:space="preserve">MEDA has not considered GEC submitted by obligated entity. </t>
    </r>
  </si>
  <si>
    <t>c</t>
  </si>
  <si>
    <t>s</t>
  </si>
  <si>
    <t xml:space="preserve">MSEDCL has verified  &amp; submitted GEC before loss </t>
  </si>
  <si>
    <r>
      <t xml:space="preserve">Entity vide ts letter dated 25.05.2015 submitted the RPO data and RE Procurement details. Entity has fulfilled the RPO by procuring S / NS RECs. </t>
    </r>
    <r>
      <rPr>
        <i/>
        <sz val="48"/>
        <rFont val="Arial"/>
        <family val="2"/>
      </rPr>
      <t xml:space="preserve">MEDA has  not considered GEC submitted by obligated entity. </t>
    </r>
  </si>
  <si>
    <r>
      <t xml:space="preserve">Entity vide ts letter dated 21.08.2015 submitted the RPO data and RE Procurement details. Entity has partially fulfilled the RPO by procuring S / NS RECs. </t>
    </r>
    <r>
      <rPr>
        <i/>
        <sz val="48"/>
        <rFont val="Arial"/>
        <family val="2"/>
      </rPr>
      <t xml:space="preserve">MEDA has not considered GEC submitted by obligated entity. </t>
    </r>
  </si>
  <si>
    <r>
      <t xml:space="preserve">Entity vide ts letter dated 10.08.2015 submitted the RPO data and RE/REC Procurement details. Entity has fulfilled the RPO by procuring S / NS RECs. </t>
    </r>
    <r>
      <rPr>
        <i/>
        <sz val="48"/>
        <rFont val="Arial"/>
        <family val="2"/>
      </rPr>
      <t xml:space="preserve">MEDA has  not considered GEC submitted by obligated entity. </t>
    </r>
  </si>
  <si>
    <r>
      <t xml:space="preserve">Entity vide ts letter dated 12.08.2015, 02.05.2015 submitted the RPO data but RE Procurement details not submitted. </t>
    </r>
    <r>
      <rPr>
        <i/>
        <sz val="48"/>
        <rFont val="Arial"/>
        <family val="2"/>
      </rPr>
      <t xml:space="preserve">MEDA has not considered GEC submitted by obligated entity. </t>
    </r>
  </si>
  <si>
    <r>
      <t xml:space="preserve">Entity vide ts letter dated 30.05.2015 submitted the RPO data and RE Procurement details. Entity has fulfilled the RPO by procuring S / NS RECs. </t>
    </r>
    <r>
      <rPr>
        <i/>
        <sz val="48"/>
        <rFont val="Arial"/>
        <family val="2"/>
      </rPr>
      <t xml:space="preserve">MEDA has not considered GEC submitted by obligated entity. </t>
    </r>
  </si>
  <si>
    <r>
      <t xml:space="preserve">Entity vide ts letter dated 07.12.2017 submitted the RPO data and RE/RECs  Procurement details. Entity has fulfilled the RPO by procuring S / NS RECs. </t>
    </r>
    <r>
      <rPr>
        <i/>
        <sz val="48"/>
        <rFont val="Arial"/>
        <family val="2"/>
      </rPr>
      <t xml:space="preserve">MEDA has not considered GEC submitted by obligated entity. </t>
    </r>
  </si>
  <si>
    <r>
      <t xml:space="preserve">Entity vide ts letter dated 24.04.2015 submitted the RPO data and RE Procurement details. Entity has fulfilled the RPO by procuring S / NS RECs. </t>
    </r>
    <r>
      <rPr>
        <i/>
        <sz val="48"/>
        <rFont val="Arial"/>
        <family val="2"/>
      </rPr>
      <t xml:space="preserve">MEDA has not considered GEC submitted by obligated entity. </t>
    </r>
  </si>
  <si>
    <t>MSEDCL has verified  &amp; submitted GEC before loss</t>
  </si>
  <si>
    <r>
      <t xml:space="preserve">Entity vide ts letter dated 26.06.2015 submitted the RPO data and RE/REC Procurement details.Entity has fulfilled the RPO by procuring S / NS RECs. </t>
    </r>
    <r>
      <rPr>
        <i/>
        <sz val="48"/>
        <rFont val="Arial"/>
        <family val="2"/>
      </rPr>
      <t xml:space="preserve">MEDA has not considered GEC submitted by obligated entity. </t>
    </r>
  </si>
  <si>
    <r>
      <t xml:space="preserve">Entity vide ts letter dated 27.06.2015 submitted the RPO data and RE Procurement details. Entity has fulfilled the RPO by procuring S / NS RECs. </t>
    </r>
    <r>
      <rPr>
        <i/>
        <sz val="48"/>
        <rFont val="Arial"/>
        <family val="2"/>
      </rPr>
      <t xml:space="preserve">MEDA has not considered GEC submitted by obligated entity. </t>
    </r>
  </si>
  <si>
    <r>
      <t>Entity vide ts letter dated 30.04.2015 submitted the RPO data and RE Procurement details. Entity has fulfilled the RPO by procuring S / NS RECs.</t>
    </r>
    <r>
      <rPr>
        <i/>
        <sz val="48"/>
        <rFont val="Arial"/>
        <family val="2"/>
      </rPr>
      <t xml:space="preserve"> MEDA has  not considered GEC submitted by obligated entity. </t>
    </r>
  </si>
  <si>
    <r>
      <t xml:space="preserve">Entity vide ts letter dated 30.04.2015 submitted the RPO data and RE Procurement details. Entity has fulfilled the RPO by procuring S / NS RECs. </t>
    </r>
    <r>
      <rPr>
        <i/>
        <sz val="48"/>
        <rFont val="Arial"/>
        <family val="2"/>
      </rPr>
      <t xml:space="preserve">MEDA has not considered GEC submitted by obligated entity. </t>
    </r>
  </si>
  <si>
    <r>
      <t xml:space="preserve">Entity vide ts letter dated 09.04.2017 submitted the RPO data and RE Procurement details. Entity has fulfilled the RPO by procuring S / NS RECs. </t>
    </r>
    <r>
      <rPr>
        <i/>
        <sz val="48"/>
        <rFont val="Arial"/>
        <family val="2"/>
      </rPr>
      <t xml:space="preserve">MEDA has not considered GEC submitted by obligated entity. </t>
    </r>
  </si>
  <si>
    <r>
      <t xml:space="preserve">Entity vide ts letter dated 06.08.2015 submitted the RPO data and RE Procurement details. Entity has fulfilled the RPO by procuring S / NS RECs. </t>
    </r>
    <r>
      <rPr>
        <i/>
        <sz val="48"/>
        <rFont val="Arial"/>
        <family val="2"/>
      </rPr>
      <t xml:space="preserve">MEDA has not considered GEC submitted by obligated entity. </t>
    </r>
  </si>
  <si>
    <r>
      <t xml:space="preserve">Entity vide Its letter dated 30/10/2015 submitted the RPO data . Entity has fulfilled the RPO by procuring S / NS RECs. </t>
    </r>
    <r>
      <rPr>
        <i/>
        <sz val="48"/>
        <rFont val="Arial"/>
        <family val="2"/>
      </rPr>
      <t xml:space="preserve">MEDA has cnot considered GEC submitted by obligated entity. </t>
    </r>
  </si>
  <si>
    <r>
      <t xml:space="preserve">Entity vide Its letter dated 18/05/2015 submitted the RPO data . Entity has fulfilled the RPO by procuring S / NS RECs. </t>
    </r>
    <r>
      <rPr>
        <i/>
        <sz val="48"/>
        <rFont val="Arial"/>
        <family val="2"/>
      </rPr>
      <t xml:space="preserve">MEDA has not considered GEC submitted by obligated entity. </t>
    </r>
  </si>
  <si>
    <r>
      <t xml:space="preserve">Entity vide Its letter dated 30/10/2015 submitted the RPO data . Entity has fulfilled the RPO by procuring S / NS RECs. </t>
    </r>
    <r>
      <rPr>
        <i/>
        <sz val="48"/>
        <rFont val="Arial"/>
        <family val="2"/>
      </rPr>
      <t xml:space="preserve">MEDA has  not considered GEC submitted by obligated entity. </t>
    </r>
  </si>
  <si>
    <r>
      <t xml:space="preserve">Entity vide Its letter dated 30/10/2015 submitted the RPO data . Entity has fulfilled the RPO by procuring S / NS RECs. </t>
    </r>
    <r>
      <rPr>
        <i/>
        <sz val="48"/>
        <rFont val="Arial"/>
        <family val="2"/>
      </rPr>
      <t xml:space="preserve">MEDA has not considered GEC submitted by obligated entity. </t>
    </r>
  </si>
  <si>
    <r>
      <t xml:space="preserve">Entity vide ts letter dated 30.10.2015 submitted the RPO data and RE Procurement details. Entity has partially fulfilled the RPO by procuring S / NS RECs. </t>
    </r>
    <r>
      <rPr>
        <i/>
        <sz val="48"/>
        <rFont val="Arial"/>
        <family val="2"/>
      </rPr>
      <t xml:space="preserve">MEDA has  not considered GEC submitted by obligated entity. </t>
    </r>
  </si>
  <si>
    <r>
      <t xml:space="preserve">Entity vide Its letter dated 29.03.2016 submitted the RPO data . Entity has fulfilled the RPO by procuring S / NS RECs. </t>
    </r>
    <r>
      <rPr>
        <i/>
        <sz val="48"/>
        <rFont val="Arial"/>
        <family val="2"/>
      </rPr>
      <t xml:space="preserve">MEDA has not considered GEC submitted by obligated entity. </t>
    </r>
  </si>
  <si>
    <t>MSEDCL has verified  &amp; submitted GEC before loss.</t>
  </si>
  <si>
    <r>
      <t>Entity vide Its letter dated 22.04.2014 submitted the RPO data . Entity has fulfilled the RPO by procuring S / NS RECs.</t>
    </r>
    <r>
      <rPr>
        <i/>
        <sz val="48"/>
        <rFont val="Arial"/>
        <family val="2"/>
      </rPr>
      <t xml:space="preserve"> MEDA has not considered GEC submitted by obligated entity. </t>
    </r>
  </si>
  <si>
    <t>MSEDCL has verified  &amp; submitted GEC before loss .</t>
  </si>
  <si>
    <r>
      <t xml:space="preserve">Entity vide Its letter dated 18.03.2016 &amp; 16.09.2016 submitted the RPO data . Entity has fulfilled the RPO by procuring S / NS RECs. </t>
    </r>
    <r>
      <rPr>
        <i/>
        <sz val="48"/>
        <rFont val="Arial"/>
        <family val="2"/>
      </rPr>
      <t xml:space="preserve">MEDA has not considered GEC submitted by obligated entity. </t>
    </r>
  </si>
  <si>
    <r>
      <t xml:space="preserve">Entity vide Its letter dated 28.10.2015 submitted the RPO data . Entity has fulfilled the partly RPO by procuring S / NS RECs. </t>
    </r>
    <r>
      <rPr>
        <i/>
        <sz val="48"/>
        <rFont val="Arial"/>
        <family val="2"/>
      </rPr>
      <t xml:space="preserve">MEDA has  not considered GEC submitted by obligated entity. </t>
    </r>
  </si>
  <si>
    <t>sur</t>
  </si>
  <si>
    <r>
      <t xml:space="preserve">Entity vide Its letter dated 09.02.2016 submitted the RPO data . Entity has fulfilled the partly RPO by procuring S / NS RECs. </t>
    </r>
    <r>
      <rPr>
        <i/>
        <sz val="48"/>
        <rFont val="Arial"/>
        <family val="2"/>
      </rPr>
      <t xml:space="preserve">MEDA has not considered GEC submitted by obligated entity. </t>
    </r>
  </si>
  <si>
    <r>
      <t xml:space="preserve">Entity vide Its letter dated 30.04.2015 submitted the RPO data . Entity has fulfilled the partly RPO by procuring S / NS RECs. </t>
    </r>
    <r>
      <rPr>
        <i/>
        <sz val="48"/>
        <rFont val="Arial"/>
        <family val="2"/>
      </rPr>
      <t xml:space="preserve">MEDA has  not considered GEC submitted by obligated entity. </t>
    </r>
  </si>
  <si>
    <r>
      <t xml:space="preserve">Entity vide Its letter dated 02.11.2015 informed they are in progress of complying with  RPO  data ,but til  date MEDA not received  RPO data. </t>
    </r>
    <r>
      <rPr>
        <i/>
        <sz val="48"/>
        <rFont val="Arial"/>
        <family val="2"/>
      </rPr>
      <t xml:space="preserve">MEDA has not considered GEC submitted by obligated entity. </t>
    </r>
  </si>
  <si>
    <r>
      <t xml:space="preserve">Entity vide Its letter dated 29.03.2016 submitted the RPO data . Entity has fulfilled the RPO by procuring RE Power &amp; S / NS RECs. </t>
    </r>
    <r>
      <rPr>
        <i/>
        <sz val="48"/>
        <rFont val="Arial"/>
        <family val="2"/>
      </rPr>
      <t xml:space="preserve">MEDA has considered GEC submitted by obligated entity. </t>
    </r>
  </si>
  <si>
    <r>
      <t xml:space="preserve">Entity vide Its letter dated 03.11.2015 submitted the RPO data . Entity has fulfilled the RPO by procuring  S / NS RECs. </t>
    </r>
    <r>
      <rPr>
        <i/>
        <sz val="48"/>
        <rFont val="Arial"/>
        <family val="2"/>
      </rPr>
      <t xml:space="preserve">MEDA has not considered GEC submitted by obligated entity. </t>
    </r>
  </si>
  <si>
    <t>SUR</t>
  </si>
  <si>
    <r>
      <t xml:space="preserve">Entity vide Its letter dated 30.04.2015 submitted the RPO data . Entity has fulfilled the RPO by procuring  S / NS RECs. </t>
    </r>
    <r>
      <rPr>
        <i/>
        <sz val="48"/>
        <rFont val="Arial"/>
        <family val="2"/>
      </rPr>
      <t xml:space="preserve">MEDA has considered GEC submitted by obligated entity. </t>
    </r>
  </si>
  <si>
    <r>
      <t xml:space="preserve">Entity vide its letter dated 23.12.2015 submitted the RPO data and RE/REC Procurement details. Entity has fulfilled the RPO by procuring S / NS RECs. </t>
    </r>
    <r>
      <rPr>
        <i/>
        <sz val="48"/>
        <rFont val="Arial"/>
        <family val="2"/>
      </rPr>
      <t>MEDA has  not considered GEC submitted by obligated entity.</t>
    </r>
    <r>
      <rPr>
        <sz val="48"/>
        <rFont val="Arial"/>
        <family val="2"/>
      </rPr>
      <t xml:space="preserve"> </t>
    </r>
  </si>
  <si>
    <t>TPC-D has verified  &amp; submitted GEC &amp; contract demand .</t>
  </si>
  <si>
    <r>
      <t xml:space="preserve">Entity vide its letter dated 03.11.2015 submitted the RPO data and REC Procurement details. Entity has partially fulfilled the RPO by procuring S / NS RECs. </t>
    </r>
    <r>
      <rPr>
        <i/>
        <sz val="48"/>
        <rFont val="Arial"/>
        <family val="2"/>
      </rPr>
      <t xml:space="preserve">MEDA has not considered GEC submitted by obligated entity. </t>
    </r>
  </si>
  <si>
    <r>
      <t xml:space="preserve">Entity vide its letter dated 05.04.2015 submitted the RPO data and REC Procurement details. Entity has partially fulfilled the RPO by procuring S / NS RECs. </t>
    </r>
    <r>
      <rPr>
        <i/>
        <sz val="48"/>
        <rFont val="Arial"/>
        <family val="2"/>
      </rPr>
      <t xml:space="preserve">MEDA has not considered GEC submitted by obligated entity. </t>
    </r>
  </si>
  <si>
    <r>
      <t xml:space="preserve">Entity vide its letter 30.10.2015 dated submitted the RPO data and RE Procurement details. Entity has fulfilled the RPO by procuring S / NS RECs. </t>
    </r>
    <r>
      <rPr>
        <i/>
        <sz val="48"/>
        <rFont val="Arial"/>
        <family val="2"/>
      </rPr>
      <t xml:space="preserve">MEDA has not considered GEC submitted by obligated entity. </t>
    </r>
  </si>
  <si>
    <r>
      <t xml:space="preserve">Entity vide its letter 30.12.2015 dated submitted the RPO data and RE Procurement details. Entity has fulfilled the RPO by procuring S / NS RECs. </t>
    </r>
    <r>
      <rPr>
        <i/>
        <sz val="48"/>
        <rFont val="Arial"/>
        <family val="2"/>
      </rPr>
      <t xml:space="preserve">MEDA has not considered GEC submitted by obligated entity. </t>
    </r>
  </si>
  <si>
    <r>
      <t xml:space="preserve">Entity vide its letter 30.04.2015 dated submitted the RPO data and RE Procurement details. Entity has fulfilled the RPO by procuring S / NS RECs. </t>
    </r>
    <r>
      <rPr>
        <i/>
        <sz val="48"/>
        <rFont val="Arial"/>
        <family val="2"/>
      </rPr>
      <t xml:space="preserve">MEDA has not considered GEC submitted by obligated entity. </t>
    </r>
  </si>
  <si>
    <r>
      <t xml:space="preserve">Entity vide its letter dated 31.10.2015 submitted the RPO data but RE Procurement details not submitted. Entity has partially fulfilled the RPO for FY 2014-15. </t>
    </r>
    <r>
      <rPr>
        <i/>
        <sz val="48"/>
        <rFont val="Arial"/>
        <family val="2"/>
      </rPr>
      <t xml:space="preserve">MEDA has not considered GEC submitted by obligated entity. </t>
    </r>
  </si>
  <si>
    <r>
      <t>Entity vide its letter 30.11.2015 dated submitted the RPO data and RE Procurement details. Entity has fulfilled the RPO by procuring S / NS RECs.</t>
    </r>
    <r>
      <rPr>
        <i/>
        <sz val="48"/>
        <rFont val="Arial"/>
        <family val="2"/>
      </rPr>
      <t xml:space="preserve"> MEDA has  considered GEC submitted by obligated entity. </t>
    </r>
  </si>
  <si>
    <r>
      <t xml:space="preserve">Entity vide its letter 18.12.2015 dated submitted the RPO data and RE Procurement details. Entity has fulfilled the RPO by procuring S / NS RECs. </t>
    </r>
    <r>
      <rPr>
        <i/>
        <sz val="48"/>
        <rFont val="Arial"/>
        <family val="2"/>
      </rPr>
      <t xml:space="preserve">MEDA has not considered GEC submitted by obligated entity. </t>
    </r>
  </si>
  <si>
    <r>
      <t xml:space="preserve">Entity vide its letter 17/11/2015 dated submitted the RPO data and RE/REC Procurement details. Entity has fulfilled the RPO by procuring S / NS RECs. </t>
    </r>
    <r>
      <rPr>
        <i/>
        <sz val="48"/>
        <rFont val="Arial"/>
        <family val="2"/>
      </rPr>
      <t xml:space="preserve">MEDA has not considered GEC submitted by obligated entity. </t>
    </r>
  </si>
  <si>
    <r>
      <t xml:space="preserve">Entity vide its letter dated 30.10.2015 submitted the RPO data but RE Procurement details not submitted. Entity has not fulfilled the RPO for FY 2014-15. </t>
    </r>
    <r>
      <rPr>
        <i/>
        <sz val="48"/>
        <rFont val="Arial"/>
        <family val="2"/>
      </rPr>
      <t xml:space="preserve">MEDA has  not considered GEC submitted by obligated entity. </t>
    </r>
  </si>
  <si>
    <r>
      <t xml:space="preserve">Entity vide its letter 30.04.2015 dated submitted the RPO data and RE/REC Procurement details. Entity has fulfilled the RPO by procuring S / NS RECs. </t>
    </r>
    <r>
      <rPr>
        <i/>
        <sz val="48"/>
        <rFont val="Arial"/>
        <family val="2"/>
      </rPr>
      <t xml:space="preserve">MEDA has not considered GEC submitted by obligated entity. </t>
    </r>
  </si>
  <si>
    <r>
      <t>Entity vide its letter dated 31.10.2015 has not submitted RPO data in specified formats. Also, RE procurement details are not submitted. Contract demand not submitted.</t>
    </r>
    <r>
      <rPr>
        <i/>
        <sz val="48"/>
        <rFont val="Arial"/>
        <family val="2"/>
      </rPr>
      <t xml:space="preserve">MEDA has not considered GEC submitted by obligated entity. </t>
    </r>
  </si>
  <si>
    <r>
      <t xml:space="preserve">Entity vide its letter 3.11.2015 dated submitted the RPO data but RE Procurement details not submitted. Entity has not fulfilled the RPO. </t>
    </r>
    <r>
      <rPr>
        <i/>
        <sz val="48"/>
        <rFont val="Arial"/>
        <family val="2"/>
      </rPr>
      <t xml:space="preserve">MEDA has not considered GEC submitted by obligated entity. </t>
    </r>
  </si>
  <si>
    <r>
      <t xml:space="preserve">Entity vide its letter 30.10.2015 dated submitted the RPO data and RE/REC Procurement details. Entity has fulfilled the RPO by procuring S / NS RECs. </t>
    </r>
    <r>
      <rPr>
        <i/>
        <sz val="48"/>
        <rFont val="Arial"/>
        <family val="2"/>
      </rPr>
      <t xml:space="preserve">MEDA has not considered GEC submitted by obligated entity. </t>
    </r>
  </si>
  <si>
    <r>
      <t xml:space="preserve">Entity vide its letter dated 30.10.2015 has not submitted RPO data in specified formats. Also, RE procurement details not submitted. </t>
    </r>
    <r>
      <rPr>
        <i/>
        <sz val="48"/>
        <rFont val="Arial"/>
        <family val="2"/>
      </rPr>
      <t xml:space="preserve">MEDA has not considered GEC submitted by obligated entity. </t>
    </r>
  </si>
  <si>
    <r>
      <t>Entity vide its letter dated 01.12.2015 submitted the RPO data and RE/REC Procurement details. Entity has fulfilled the RPO by procuring S / NS RECs.</t>
    </r>
    <r>
      <rPr>
        <i/>
        <sz val="48"/>
        <rFont val="Arial"/>
        <family val="2"/>
      </rPr>
      <t xml:space="preserve"> MEDA has not considered GEC submitted by obligated entity. </t>
    </r>
  </si>
  <si>
    <r>
      <t xml:space="preserve">Entity vide its letter dated 16.11.2015 submitted the RPO data and RE/REC Procurement details. Entity has fulfilled the RPO by procuring S / NS RECs. </t>
    </r>
    <r>
      <rPr>
        <i/>
        <sz val="48"/>
        <rFont val="Arial"/>
        <family val="2"/>
      </rPr>
      <t xml:space="preserve">MEDA has  not considered GEC submitted by obligated entity. </t>
    </r>
  </si>
  <si>
    <r>
      <t xml:space="preserve">Entity vide its letter dated 30.10.2015 submitted the RPO data and RE/REC Procurement details. Entity has fulfilled the RPO by procuring S / NS RECs. </t>
    </r>
    <r>
      <rPr>
        <i/>
        <sz val="48"/>
        <rFont val="Arial"/>
        <family val="2"/>
      </rPr>
      <t xml:space="preserve">MEDA has not considered GEC submitted by obligated entity. </t>
    </r>
  </si>
  <si>
    <r>
      <t xml:space="preserve">Entity vide its letter dated 30.04.2015 submitted the RPO data and RE/REC Procurement details. Entity has fulfilled the RPO by procuring S / NS RECs. </t>
    </r>
    <r>
      <rPr>
        <i/>
        <sz val="48"/>
        <rFont val="Arial"/>
        <family val="2"/>
      </rPr>
      <t xml:space="preserve">MEDA has not considered GEC submitted by obligated entity. </t>
    </r>
  </si>
  <si>
    <r>
      <t xml:space="preserve">Entity vide its letter dated 08.08.2017 submitted the RPO data and RE/REC Procurement details. Entity has fulfilled the RPO by procuring S / NS RECs. </t>
    </r>
    <r>
      <rPr>
        <i/>
        <sz val="48"/>
        <rFont val="Arial"/>
        <family val="2"/>
      </rPr>
      <t xml:space="preserve">MEDA has not considered GEC submitted by obligated entity. </t>
    </r>
  </si>
  <si>
    <r>
      <t xml:space="preserve">Entity vide its letter dated 31.10.2015 submitted the RPO data and RE/REC Procurement details. Entity has fulfilled the RPO by procuring S / NS RECs. </t>
    </r>
    <r>
      <rPr>
        <i/>
        <sz val="48"/>
        <rFont val="Arial"/>
        <family val="2"/>
      </rPr>
      <t xml:space="preserve">MEDA has not considered GEC submitted by obligated entity. </t>
    </r>
  </si>
  <si>
    <r>
      <t xml:space="preserve">Entity vide its letter dated 27.03.2015 submitted the RPO data and RE/REC Procurement details not submitted. </t>
    </r>
    <r>
      <rPr>
        <i/>
        <sz val="48"/>
        <rFont val="Arial"/>
        <family val="2"/>
      </rPr>
      <t xml:space="preserve">MEDA has not considered GEC submitted by obligated entity. </t>
    </r>
  </si>
  <si>
    <r>
      <t>Entity vide its letter dated 15.12.2018 submitted the RPO data and RE/REC Procurement details.</t>
    </r>
    <r>
      <rPr>
        <i/>
        <sz val="48"/>
        <rFont val="Arial"/>
        <family val="2"/>
      </rPr>
      <t xml:space="preserve">MEDA has not considered GEC submitted by obligated entity. </t>
    </r>
  </si>
  <si>
    <t>No report has been submitted by entity. However GEC of entity have been considered from AEML   email dated 31.08.2018 submitted to MEDA.</t>
  </si>
  <si>
    <t>not reported</t>
  </si>
  <si>
    <t>No report has been submitted by entity. However GEC of entity have been considered from AEML   email dated 31.08.2018 submitted to MEDA .</t>
  </si>
  <si>
    <t>No report has been submitted by entity. However GEC of entity have been considered from MSEDCL verification e-mail dated 03.11.2018 &amp; 16.02.2019 submitted to MEDA.</t>
  </si>
  <si>
    <t xml:space="preserve">No report has been submitted by entity. However GEC of entity have been considered from MSEDCL verification e-mail dated 03.11.2018 &amp; 16.02.2019 submitted to MEDA </t>
  </si>
  <si>
    <t>No report has been submitted by entity. However GEC of entity have been considered from MSEDCL verification e-mail dated 03.11.2018 &amp; 16.02.2019 submitted to MEDA</t>
  </si>
  <si>
    <t>No report has been submitted by entity. However GEC of entity have been considered from MSEDCL verification e-mail dated 03.11.2018 &amp; 16.02.2019 submitted.</t>
  </si>
  <si>
    <t>MSEDCL needs to confirm consumer no</t>
  </si>
  <si>
    <r>
      <t>As per report submitted by entity vide its letter dated 04.03.2016 &amp; 11.04.2016.  Entity is obligated under RPO in OA consumer category for FY 2015-16.</t>
    </r>
    <r>
      <rPr>
        <i/>
        <sz val="48"/>
        <rFont val="Arial"/>
        <family val="2"/>
      </rPr>
      <t>MEDA has not considered GEC submitted by obligated entity.</t>
    </r>
  </si>
  <si>
    <r>
      <t>As per report submitted by entity vide its letter dated 19.07.2016 &amp; 18.08.2016.  Entity is obligated under RPO in OA consumer category for FY 2015-16.</t>
    </r>
    <r>
      <rPr>
        <i/>
        <sz val="48"/>
        <rFont val="Arial"/>
        <family val="2"/>
      </rPr>
      <t>MEDA has not considered GEC submitted by obligated entity.</t>
    </r>
  </si>
  <si>
    <r>
      <t>As per report submitted by entity vide its letter dated 05.05.2016, Entity is obligated under RPO in OA consumer category for FY 2015-16.</t>
    </r>
    <r>
      <rPr>
        <i/>
        <sz val="48"/>
        <rFont val="Arial"/>
        <family val="2"/>
      </rPr>
      <t>MEDA has not considered GEC submitted by obligated entity.</t>
    </r>
  </si>
  <si>
    <r>
      <t>As per report submitted by entity vide its letter dated 20.05.2016, Entity is obligated under RPO in OA consumer category for FY 2015-16.</t>
    </r>
    <r>
      <rPr>
        <i/>
        <sz val="48"/>
        <rFont val="Arial"/>
        <family val="2"/>
      </rPr>
      <t>MEDA has not considered GEC submitted by obligated entity.</t>
    </r>
  </si>
  <si>
    <r>
      <t>As per report submitted by entity vide its letter dated 17.08.2016, Entity is obligated under RPO in OA consumer category for FY 2015-16.</t>
    </r>
    <r>
      <rPr>
        <i/>
        <sz val="48"/>
        <rFont val="Arial"/>
        <family val="2"/>
      </rPr>
      <t>MEDA has not considered GEC submitted by obligated entity.</t>
    </r>
  </si>
  <si>
    <r>
      <t>As per report submitted by entity vide its letter dated 16.08.2016, Entity is obligated under RPO in OA consumer category for FY 2015-16.</t>
    </r>
    <r>
      <rPr>
        <i/>
        <sz val="48"/>
        <rFont val="Arial"/>
        <family val="2"/>
      </rPr>
      <t>MEDA has not considered GEC submitted by obligated entity.</t>
    </r>
  </si>
  <si>
    <r>
      <t>As per report submitted by entity vide its letter dated 04.02.2016 &amp; 02.05.2016, Entity is obligated under RPO in OA consumer category for FY 2015-16.</t>
    </r>
    <r>
      <rPr>
        <i/>
        <sz val="48"/>
        <rFont val="Arial"/>
        <family val="2"/>
      </rPr>
      <t>MEDA has considered GEC submitted by obligated entity.</t>
    </r>
  </si>
  <si>
    <r>
      <t>As per report submitted by entity vide its letter dated 21.08.2015 &amp; 30.05.2016, Entity is obligated under RPO in OA consumer category for FY 2015-16.</t>
    </r>
    <r>
      <rPr>
        <i/>
        <sz val="48"/>
        <rFont val="Arial"/>
        <family val="2"/>
      </rPr>
      <t>MEDA has not considered GEC submitted by obligated entity.</t>
    </r>
  </si>
  <si>
    <t>need to confirm MSEDCL</t>
  </si>
  <si>
    <r>
      <t>As per report submitted by entity vide its letter dated 16.09.2016, Entity is obligated under RPO in OA consumer category for FY 2015-16.</t>
    </r>
    <r>
      <rPr>
        <i/>
        <sz val="48"/>
        <rFont val="Arial"/>
        <family val="2"/>
      </rPr>
      <t>MEDA has not considered GEC submitted by obligated entity.</t>
    </r>
  </si>
  <si>
    <r>
      <t>As per report submitted by entity vide its letter dated 08.08.2016, Entity is obligated under RPO in OA consumer category for FY 2015-16.</t>
    </r>
    <r>
      <rPr>
        <i/>
        <sz val="48"/>
        <rFont val="Arial"/>
        <family val="2"/>
      </rPr>
      <t>MEDA has not considered GEC submitted by obligated entity.</t>
    </r>
  </si>
  <si>
    <r>
      <t>As per report submitted by entity vide its letter dated 19.08.2016, Entity is obligated under RPO in OA consumer category for FY 2015-16.</t>
    </r>
    <r>
      <rPr>
        <i/>
        <sz val="48"/>
        <rFont val="Arial"/>
        <family val="2"/>
      </rPr>
      <t>MEDA has not considered GEC submitted by obligated entity.</t>
    </r>
  </si>
  <si>
    <r>
      <t>As per report submitted by entity vide its letter dated 05.07.2016, Entity is obligated under RPO in OA consumer category for FY 2015-16.</t>
    </r>
    <r>
      <rPr>
        <i/>
        <sz val="48"/>
        <rFont val="Arial"/>
        <family val="2"/>
      </rPr>
      <t>MEDA has not considered GEC submitted by obligated entity.</t>
    </r>
  </si>
  <si>
    <r>
      <t xml:space="preserve">As per report submitted by entity vide its letter dated 16.08.2016, Entity is obligated under RPO in OA consumer category for FY 2015-16. </t>
    </r>
    <r>
      <rPr>
        <i/>
        <sz val="48"/>
        <rFont val="Arial"/>
        <family val="2"/>
      </rPr>
      <t>REC Proof not submitted.MEDA has not considered GEC submitted by obligated entity.</t>
    </r>
  </si>
  <si>
    <r>
      <t>As per report submitted by entity vide its letter dated 12.08.2016, Entity is obligated under RPO in OA consumer category for FY 2015-16.Non-solar RECs proof not submitted</t>
    </r>
    <r>
      <rPr>
        <b/>
        <i/>
        <sz val="48"/>
        <rFont val="Arial"/>
        <family val="2"/>
      </rPr>
      <t>.</t>
    </r>
    <r>
      <rPr>
        <i/>
        <sz val="48"/>
        <rFont val="Arial"/>
        <family val="2"/>
      </rPr>
      <t>MEDA has not considered GEC submitted by obligated entity.</t>
    </r>
  </si>
  <si>
    <r>
      <t>As per report submitted by entity vide its letter dated 18.08.2016, Entity is obligated under RPO in OA consumer category for FY 2015-16.</t>
    </r>
    <r>
      <rPr>
        <i/>
        <sz val="48"/>
        <rFont val="Arial"/>
        <family val="2"/>
      </rPr>
      <t>MEDA has  not considered GEC submitted by obligated entity.</t>
    </r>
  </si>
  <si>
    <r>
      <t>As per report submitted by entity vide its letter dated 05.08.2016, Entity is obligated under RPO in OA consumer category for FY 2015-16.</t>
    </r>
    <r>
      <rPr>
        <i/>
        <sz val="48"/>
        <rFont val="Arial"/>
        <family val="2"/>
      </rPr>
      <t>MEDA has not considered GEC submitted by obligated entity.</t>
    </r>
  </si>
  <si>
    <r>
      <t>As per report submitted by entity vide its letter dated 06.08.2016, Entity is obligated under RPO in OA consumer category for FY 2015-16.</t>
    </r>
    <r>
      <rPr>
        <i/>
        <sz val="48"/>
        <rFont val="Arial"/>
        <family val="2"/>
      </rPr>
      <t>MEDA has not considered GEC submitted by obligated entity.</t>
    </r>
  </si>
  <si>
    <r>
      <t>As per report submitted by entity vide its letter dated 15.05.2016, Entity is obligated under RPO in OA consumer category for FY 2015-16.</t>
    </r>
    <r>
      <rPr>
        <i/>
        <sz val="48"/>
        <rFont val="Arial"/>
        <family val="2"/>
      </rPr>
      <t>MEDA has not considered GEC submitted by obligated entity.</t>
    </r>
  </si>
  <si>
    <r>
      <t>As per report submitted by entity vide its letter dated 03.05.2016,16.08.2016 Entity is obligated under RPO in OA consumer category for FY 2015-16.</t>
    </r>
    <r>
      <rPr>
        <i/>
        <sz val="48"/>
        <rFont val="Arial"/>
        <family val="2"/>
      </rPr>
      <t>MEDA has not considered GEC submitted by obligated entity.</t>
    </r>
  </si>
  <si>
    <r>
      <t>As per report submitted by entity vide its letter dated 25.06.2016 , Entity is obligated under RPO in OA consumer category for FY 2015-16.</t>
    </r>
    <r>
      <rPr>
        <i/>
        <sz val="48"/>
        <rFont val="Arial"/>
        <family val="2"/>
      </rPr>
      <t>MEDA has not considered GEC submitted by obligated entity.</t>
    </r>
  </si>
  <si>
    <t xml:space="preserve">TPC-D has verified  &amp; submitted GEC &amp; Contract Demand </t>
  </si>
  <si>
    <r>
      <t>As per report submitted by entity vide its letter dated 17.07.2015,13.10.2015 ,14.01.2016 &amp; 21.04.2016, Entity is obligated under RPO in OA consumer category for FY 2015-16.</t>
    </r>
    <r>
      <rPr>
        <i/>
        <sz val="48"/>
        <rFont val="Arial"/>
        <family val="2"/>
      </rPr>
      <t>MEDA has  considered GEC submitted by obligated entity.</t>
    </r>
  </si>
  <si>
    <r>
      <t>As per report submitted by entity vide its letter dated 21.05.2016, Entity is obligated under RPO in OA consumer category for FY 2015-16.</t>
    </r>
    <r>
      <rPr>
        <i/>
        <sz val="48"/>
        <rFont val="Arial"/>
        <family val="2"/>
      </rPr>
      <t>MEDA has not considered GEC submitted by obligated entity.</t>
    </r>
  </si>
  <si>
    <r>
      <t>As per report submitted by entity vide its letter dated 06.08.2016, Entity is obligated under RPO in OA consumer category for FY 2015-16.</t>
    </r>
    <r>
      <rPr>
        <i/>
        <sz val="48"/>
        <rFont val="Arial"/>
        <family val="2"/>
      </rPr>
      <t>MEDA has  not considered GEC submitted by obligated entity.</t>
    </r>
  </si>
  <si>
    <r>
      <t>As per report submitted by entity vide its letter dated 30.04.2016 7 04.08.2018, Entity is obligated under RPO in OA consumer category for FY 2015-16.</t>
    </r>
    <r>
      <rPr>
        <i/>
        <sz val="48"/>
        <rFont val="Arial"/>
        <family val="2"/>
      </rPr>
      <t>MEDA has not considered GEC submitted by obligated entity.</t>
    </r>
  </si>
  <si>
    <r>
      <t>As per report submitted by entity vide its letter dated 13.05.2016, Entity is obligated under RPO in OA consumer category for FY 2015-16.</t>
    </r>
    <r>
      <rPr>
        <i/>
        <sz val="48"/>
        <rFont val="Arial"/>
        <family val="2"/>
      </rPr>
      <t>MEDA has not considered GEC submitted by obligated entity.</t>
    </r>
  </si>
  <si>
    <r>
      <t>As per report submitted by entity vide its letter dated 23.06.2016 &amp; 18.08.2016, Entity is obligated under RPO in OA consumer category for FY 2015-16.</t>
    </r>
    <r>
      <rPr>
        <i/>
        <sz val="48"/>
        <rFont val="Arial"/>
        <family val="2"/>
      </rPr>
      <t>MEDA has not considered GEC submitted by obligated entity.</t>
    </r>
  </si>
  <si>
    <r>
      <t>As per report submitted by entity vide its letter dated 26.05.2016, Entity is obligated under RPO in OA consumer category for FY 2015-16.</t>
    </r>
    <r>
      <rPr>
        <i/>
        <sz val="48"/>
        <rFont val="Arial"/>
        <family val="2"/>
      </rPr>
      <t>MEDA has not considered GEC submitted by obligated entity.</t>
    </r>
  </si>
  <si>
    <r>
      <t>As per report submitted by entity vide its letter dated 31.05.2016, Entity is obligated under RPO in OA consumer category for FY 2015-16.</t>
    </r>
    <r>
      <rPr>
        <i/>
        <sz val="48"/>
        <rFont val="Arial"/>
        <family val="2"/>
      </rPr>
      <t>MEDA has  not considered GEC submitted by obligated entity.</t>
    </r>
  </si>
  <si>
    <r>
      <t>As per report submitted by entity vide its letter dated 31.05.2016, Entity is obligated under RPO in OA consumer category for FY 2015-16.</t>
    </r>
    <r>
      <rPr>
        <i/>
        <sz val="48"/>
        <rFont val="Arial"/>
        <family val="2"/>
      </rPr>
      <t>MEDA has not considered GEC submitted by obligated entity.</t>
    </r>
  </si>
  <si>
    <r>
      <t>As per report submitted by entity vide its letter dated 20.08.2016, Entity is obligated under RPO in OA consumer category for FY 2015-16.</t>
    </r>
    <r>
      <rPr>
        <i/>
        <sz val="48"/>
        <rFont val="Arial"/>
        <family val="2"/>
      </rPr>
      <t>MEDA has not considered GEC submitted by obligated entity.</t>
    </r>
  </si>
  <si>
    <r>
      <t>As per report submitted by entity vide its letter dated 12.08.2016, Entity is obligated under RPO in OA consumer category for FY 2015-16.</t>
    </r>
    <r>
      <rPr>
        <i/>
        <sz val="48"/>
        <rFont val="Arial"/>
        <family val="2"/>
      </rPr>
      <t>MEDA has not considered GEC submitted by obligated entity.</t>
    </r>
  </si>
  <si>
    <r>
      <t>As per report submitted by entity vide its letter dated 26.08.2016, Entity is obligated under RPO in OA consumer category for FY 2015-16.</t>
    </r>
    <r>
      <rPr>
        <i/>
        <sz val="48"/>
        <rFont val="Arial"/>
        <family val="2"/>
      </rPr>
      <t>MEDA has not considered GEC submitted by obligated entity.</t>
    </r>
  </si>
  <si>
    <t>MSEDCL has verified  &amp; submitted GEC before loss same is updated By MEDA.</t>
  </si>
  <si>
    <r>
      <t>As per report submitted by entity vide its letter dated 18.08.2016, Entity is obligated under RPO in OA consumer category for FY 2015-16.</t>
    </r>
    <r>
      <rPr>
        <i/>
        <sz val="48"/>
        <rFont val="Arial"/>
        <family val="2"/>
      </rPr>
      <t>MEDA has not considered GEC submitted by obligated entity.</t>
    </r>
  </si>
  <si>
    <r>
      <t>As per report submitted by entity vide its letter dated 17.08.2016, Entity is obligated under RPO in OA consumer category for FY 2015-16.</t>
    </r>
    <r>
      <rPr>
        <i/>
        <sz val="48"/>
        <rFont val="Arial"/>
        <family val="2"/>
      </rPr>
      <t>MEDA has  not considered GEC submitted by obligated entity.</t>
    </r>
  </si>
  <si>
    <r>
      <t>As per report submitted by entity vide its letter dated 11.08.2016, Entity is obligated under RPO in OA consumer category for FY 2015-16.</t>
    </r>
    <r>
      <rPr>
        <i/>
        <sz val="48"/>
        <rFont val="Arial"/>
        <family val="2"/>
      </rPr>
      <t>MEDA has not considered GEC submitted by obligated entity.</t>
    </r>
  </si>
  <si>
    <r>
      <t>As per report submitted by entity vide its letter dated 28.03.2016 &amp; 08.08.2016, Entity is obligated under RPO in OA consumer category for FY 2015-16.</t>
    </r>
    <r>
      <rPr>
        <i/>
        <sz val="48"/>
        <rFont val="Arial"/>
        <family val="2"/>
      </rPr>
      <t>MEDA has not considered GEC submitted by obligated entity.</t>
    </r>
  </si>
  <si>
    <r>
      <t>As per report submitted by entity vide its letter dated 22.08.2016 &amp; 01.09.2016 Entity is obligated under RPO in OA consumer category for FY 2015-16.</t>
    </r>
    <r>
      <rPr>
        <i/>
        <sz val="48"/>
        <rFont val="Arial"/>
        <family val="2"/>
      </rPr>
      <t>MEDA has not considered GEC submitted by obligated entity.</t>
    </r>
  </si>
  <si>
    <r>
      <t>As per report submitted by entity vide its letter dated 05.08.2016 &amp; 22.08.2016 , Entity is obligated under RPO in OA consumer category for FY 2015-16.</t>
    </r>
    <r>
      <rPr>
        <i/>
        <sz val="48"/>
        <rFont val="Arial"/>
        <family val="2"/>
      </rPr>
      <t>MEDA has not considered GEC submitted by obligated entity.</t>
    </r>
  </si>
  <si>
    <r>
      <t>As per report submitted by entity vide its letter dated 18.08.2016, Entity is obligated under RPO in OA consumer category for FY 2015-16.</t>
    </r>
    <r>
      <rPr>
        <i/>
        <sz val="48"/>
        <rFont val="Arial"/>
        <family val="2"/>
      </rPr>
      <t>MEDA has notconsidered GEC submitted by obligated entity.</t>
    </r>
  </si>
  <si>
    <r>
      <t>As per report submitted by entity vide its letter dated 28.06.2016,16.08.2016 Entity is obligated under RPO in OA consumer category for FY 2015-16.</t>
    </r>
    <r>
      <rPr>
        <i/>
        <sz val="48"/>
        <rFont val="Arial"/>
        <family val="2"/>
      </rPr>
      <t>MEDA has  not considered GEC submitted by obligated entity.</t>
    </r>
  </si>
  <si>
    <r>
      <t>As per report submitted by entity vide its letter dated 09.08.2016, Entity is obligated under RPO in OA consumer category for FY 2015-16.</t>
    </r>
    <r>
      <rPr>
        <i/>
        <sz val="48"/>
        <rFont val="Arial"/>
        <family val="2"/>
      </rPr>
      <t>MEDA has not considered GEC submitted by obligated entity.</t>
    </r>
  </si>
  <si>
    <r>
      <t>As per report submitted by entity vide its letter dated 08.07.2016, Entity is obligated under RPO in OA consumer category for FY 2015-16.</t>
    </r>
    <r>
      <rPr>
        <i/>
        <sz val="48"/>
        <rFont val="Arial"/>
        <family val="2"/>
      </rPr>
      <t>MEDA has not considered GEC submitted by obligated entity.</t>
    </r>
  </si>
  <si>
    <r>
      <t>As per report submitted by entity vide its letter dated 03.11.2015 &amp; 17.05.2016, Entity is obligated under RPO in OA consumer category for FY 2015-16.</t>
    </r>
    <r>
      <rPr>
        <i/>
        <sz val="48"/>
        <rFont val="Arial"/>
        <family val="2"/>
      </rPr>
      <t>MEDA has  not considered GEC submitted by obligated entity.</t>
    </r>
  </si>
  <si>
    <r>
      <t>As per report submitted by entity vide its letter dated 31.08.2016, Entity is obligated under RPO in OA consumer category for FY 2015-16.</t>
    </r>
    <r>
      <rPr>
        <i/>
        <sz val="48"/>
        <rFont val="Arial"/>
        <family val="2"/>
      </rPr>
      <t>MEDA has not considered GEC submitted by obligated entity.</t>
    </r>
  </si>
  <si>
    <r>
      <t>As per report submitted by entity vide its letter dated 06.07.2016, Entity is obligated under RPO in OA consumer category for FY 2015-16</t>
    </r>
    <r>
      <rPr>
        <i/>
        <sz val="48"/>
        <rFont val="Arial"/>
        <family val="2"/>
      </rPr>
      <t>.MEDA has not considered GEC submitted by obligated entity.</t>
    </r>
  </si>
  <si>
    <r>
      <t>As per report submitted by entity vide its letter dated 13.10.2016, Entity is obligated under RPO in OA consumer category for FY 2015-16.</t>
    </r>
    <r>
      <rPr>
        <i/>
        <sz val="48"/>
        <rFont val="Arial"/>
        <family val="2"/>
      </rPr>
      <t>MEDA has not considered GEC submitted by obligated entity.</t>
    </r>
  </si>
  <si>
    <r>
      <t>As per report submitted by entity vide its letter dated 27.08.2015,23.08.2016 &amp; 30.10.2015 Entity is obligated under RPO in OA consumer category for FY 2015-16.</t>
    </r>
    <r>
      <rPr>
        <i/>
        <sz val="48"/>
        <rFont val="Arial"/>
        <family val="2"/>
      </rPr>
      <t>MEDA has not considered GEC submitted by obligated entity.</t>
    </r>
  </si>
  <si>
    <r>
      <t>As per report submitted by entity vide its letter dated 30.06.2016 Entity is obligated under RPO in OA consumer category for FY 2015-16.</t>
    </r>
    <r>
      <rPr>
        <i/>
        <sz val="48"/>
        <rFont val="Arial"/>
        <family val="2"/>
      </rPr>
      <t>MEDA has not considered GEC submitted by obligated entity.</t>
    </r>
  </si>
  <si>
    <r>
      <t>As per report submitted by entity vide its letter dated 25.06.2016 Entity is obligated under RPO in OA consumer category for FY 2015-16.</t>
    </r>
    <r>
      <rPr>
        <i/>
        <sz val="48"/>
        <rFont val="Arial"/>
        <family val="2"/>
      </rPr>
      <t>MEDA has not considered GEC submitted by obligated entity.</t>
    </r>
  </si>
  <si>
    <r>
      <t>As per report submitted by entity vide its letter dated 17.06.2016 Entity is obligated under RPO in OA consumer category for FY 2015-16.</t>
    </r>
    <r>
      <rPr>
        <i/>
        <sz val="48"/>
        <rFont val="Arial"/>
        <family val="2"/>
      </rPr>
      <t>MEDA has  not considered GEC submitted by obligated entity.</t>
    </r>
  </si>
  <si>
    <r>
      <t>As per report submitted by entity vide its letter dated 26.07.2016 Entity is obligated under RPO in OA consumer category for FY 2015-16</t>
    </r>
    <r>
      <rPr>
        <i/>
        <sz val="48"/>
        <rFont val="Arial"/>
        <family val="2"/>
      </rPr>
      <t>.MEDA has not considered GEC submitted by obligated entity.</t>
    </r>
  </si>
  <si>
    <r>
      <t>As per report submitted by entity vide its letter dated 26.07.2016 Entity is obligated under RPO in OA consumer category for FY 2015-16.</t>
    </r>
    <r>
      <rPr>
        <i/>
        <sz val="48"/>
        <rFont val="Arial"/>
        <family val="2"/>
      </rPr>
      <t>MEDA has  not considered GEC submitted by obligated entity.</t>
    </r>
  </si>
  <si>
    <t>Adani Electricity Mumbai Ltd (Earlierly Know as R-infra-D) has verified  &amp; submitted GEC &amp; Contract Demand</t>
  </si>
  <si>
    <r>
      <t>As per report submitted by entity vide its letter dated 22.05.2016 Entity is obligated under RPO in OA consumer category for FY 2015-16.</t>
    </r>
    <r>
      <rPr>
        <i/>
        <sz val="48"/>
        <rFont val="Arial"/>
        <family val="2"/>
      </rPr>
      <t>MEDA has not considered GEC submitted by obligated entity.</t>
    </r>
  </si>
  <si>
    <r>
      <t>As per report submitted by entity vide its letter dated 26.08.2016 Entity is obligated under RPO in OA consumer category for FY 2015-16.</t>
    </r>
    <r>
      <rPr>
        <i/>
        <sz val="48"/>
        <rFont val="Arial"/>
        <family val="2"/>
      </rPr>
      <t>MEDA has not considered GEC submitted by obligated entity.</t>
    </r>
  </si>
  <si>
    <r>
      <t>As per report submitted by entity vide its letter dated 22.08.2016 Entity is obligated under RPO in OA consumer category for FY 2015-16.</t>
    </r>
    <r>
      <rPr>
        <i/>
        <sz val="48"/>
        <rFont val="Arial"/>
        <family val="2"/>
      </rPr>
      <t>MEDA has not considered GEC submitted by obligated entity.</t>
    </r>
  </si>
  <si>
    <r>
      <t>As per report submitted by entity vide its letter dated 24.04.2017 Entity is obligated under RPO in OA consumer category for FY 2015-16.</t>
    </r>
    <r>
      <rPr>
        <i/>
        <sz val="48"/>
        <rFont val="Arial"/>
        <family val="2"/>
      </rPr>
      <t>MEDA has not considered GEC submitted by obligated entity.</t>
    </r>
  </si>
  <si>
    <r>
      <t>As per report submitted by entity vide its letter dated 21.04.2017 Entity is obligated under RPO in OA consumer category for FY 2015-16.</t>
    </r>
    <r>
      <rPr>
        <i/>
        <sz val="48"/>
        <rFont val="Arial"/>
        <family val="2"/>
      </rPr>
      <t>MEDA has not considered GEC submitted by obligated entity.</t>
    </r>
  </si>
  <si>
    <r>
      <t>As per report submitted by entity vide its letter dated 16.08.2017 Entity is obligated under RPO in OA consumer category for FY 2015-16.</t>
    </r>
    <r>
      <rPr>
        <i/>
        <sz val="48"/>
        <rFont val="Arial"/>
        <family val="2"/>
      </rPr>
      <t>MEDA has  not considered GEC submitted by obligated entity.</t>
    </r>
  </si>
  <si>
    <r>
      <t>As per report submitted by entity vide its letter dated 10.04.2017 Entity is obligated under RPO in OA consumer category for FY 2015-16.</t>
    </r>
    <r>
      <rPr>
        <i/>
        <sz val="48"/>
        <rFont val="Arial"/>
        <family val="2"/>
      </rPr>
      <t>MEDA has not considered GEC submitted by obligated entity.</t>
    </r>
  </si>
  <si>
    <r>
      <t>As per report submitted by entity vide its letter dated 19.04.2017 Entity is obligated under RPO in OA consumer category for FY 2015-16.</t>
    </r>
    <r>
      <rPr>
        <i/>
        <sz val="48"/>
        <rFont val="Arial"/>
        <family val="2"/>
      </rPr>
      <t>MEDA has not considered GEC submitted by obligated entity.</t>
    </r>
  </si>
  <si>
    <r>
      <t>As per report submitted by entity vide its letter dated 14.04.2017 Entity is obligated under RPO in OA consumer category for FY 2015-16.</t>
    </r>
    <r>
      <rPr>
        <i/>
        <sz val="48"/>
        <rFont val="Arial"/>
        <family val="2"/>
      </rPr>
      <t>MEDA has not considered GEC submitted by obligated entity.</t>
    </r>
  </si>
  <si>
    <r>
      <t>As per report submitted by entity vide its letter dated 18.08.2016 Entity is obligated under RPO in OA consumer category for FY 2015-16.</t>
    </r>
    <r>
      <rPr>
        <i/>
        <sz val="48"/>
        <rFont val="Arial"/>
        <family val="2"/>
      </rPr>
      <t>MEDA has not considered GEC submitted by obligated entity.</t>
    </r>
  </si>
  <si>
    <r>
      <t>As per report submitted by entity vide its letter dated 04.04.2017 Entity is obligated under RPO in OA consumer category for FY 2015-16.</t>
    </r>
    <r>
      <rPr>
        <i/>
        <sz val="48"/>
        <rFont val="Arial"/>
        <family val="2"/>
      </rPr>
      <t>MEDA has  not considered GEC submitted by obligated entity.</t>
    </r>
  </si>
  <si>
    <r>
      <t>As per report submitted by entity vide its letter dated 28.04.2017 &amp; 19.04.2017 Entity is obligated under RPO in OA consumer category for FY 2015-16.</t>
    </r>
    <r>
      <rPr>
        <i/>
        <sz val="48"/>
        <rFont val="Arial"/>
        <family val="2"/>
      </rPr>
      <t>MEDA has not considered GEC submitted by obligated entity.</t>
    </r>
  </si>
  <si>
    <r>
      <t>As per report submitted by entity vide its letter dated 13.04.2017 Entity is obligated under RPO in OA consumer category for FY 2015-16.</t>
    </r>
    <r>
      <rPr>
        <i/>
        <sz val="48"/>
        <rFont val="Arial"/>
        <family val="2"/>
      </rPr>
      <t>MEDA has not considered GEC submitted by obligated entity.</t>
    </r>
  </si>
  <si>
    <r>
      <t>As per report submitted by entity vide its letter dated 13.04.2017 Entity is obligated under RPO in OA consumer category for FY 2015-16.</t>
    </r>
    <r>
      <rPr>
        <i/>
        <sz val="48"/>
        <rFont val="Arial"/>
        <family val="2"/>
      </rPr>
      <t>MEDA has  not considered GEC submitted by obligated entity.</t>
    </r>
  </si>
  <si>
    <r>
      <t>As per report submitted by entity vide its letter dated 16.08.2016 Entity is obligated under RPO in OA consumer category for FY 2015-16.</t>
    </r>
    <r>
      <rPr>
        <i/>
        <sz val="48"/>
        <rFont val="Arial"/>
        <family val="2"/>
      </rPr>
      <t>MEDA has not considered GEC submitted by obligated entity.</t>
    </r>
  </si>
  <si>
    <r>
      <t>As per report submitted by entity vide its letter dated 06.04.2017 &amp; 23.08.2016 Entity is obligated under RPO in OA consumer category for FY 2015-16.</t>
    </r>
    <r>
      <rPr>
        <i/>
        <sz val="48"/>
        <rFont val="Arial"/>
        <family val="2"/>
      </rPr>
      <t>MEDA has not considered GEC submitted by obligated entity.</t>
    </r>
  </si>
  <si>
    <r>
      <t>As per report submitted by entity vide its letter dated 04.04.2017 Entity is obligated under RPO in OA consumer category for FY 2015-16.</t>
    </r>
    <r>
      <rPr>
        <i/>
        <sz val="48"/>
        <rFont val="Arial"/>
        <family val="2"/>
      </rPr>
      <t>MEDA has not considered GEC submitted by obligated entity.</t>
    </r>
  </si>
  <si>
    <r>
      <t>As per report submitted by entity vide its letter dated 13.08.2016 Entity is obligated under RPO in OA consumer category for FY 2015-16.</t>
    </r>
    <r>
      <rPr>
        <i/>
        <sz val="48"/>
        <rFont val="Arial"/>
        <family val="2"/>
      </rPr>
      <t>MEDA has not considered GEC submitted by obligated entity.</t>
    </r>
  </si>
  <si>
    <r>
      <t>As per report submitted by entity vide its letter dated 27.08.2016 Entity is obligated under RPO in OA consumer category for FY 2015-16.</t>
    </r>
    <r>
      <rPr>
        <i/>
        <sz val="48"/>
        <rFont val="Arial"/>
        <family val="2"/>
      </rPr>
      <t>MEDA has not considered GEC submitted by obligated entity.</t>
    </r>
  </si>
  <si>
    <r>
      <t>As per report submitted by entity vide its letter dated 17.08.2016 Entity is obligated under RPO in OA consumer category for FY 2015-16.</t>
    </r>
    <r>
      <rPr>
        <i/>
        <sz val="48"/>
        <rFont val="Arial"/>
        <family val="2"/>
      </rPr>
      <t>MEDA has not considered GEC submitted by obligated entity.</t>
    </r>
  </si>
  <si>
    <r>
      <t>As per report submitted by entity vide its letter dated 16.08.2016 Entity is obligated under RPO in OA consumer category for FY 2015-16.</t>
    </r>
    <r>
      <rPr>
        <i/>
        <sz val="48"/>
        <rFont val="Arial"/>
        <family val="2"/>
      </rPr>
      <t>MEDA has  not considered GEC submitted by obligated entity.</t>
    </r>
  </si>
  <si>
    <r>
      <t>As per report submitted by entity vide its letter dated 17.08.2016 Entity is obligated under RPO in OA consumer category for FY 2015-16.</t>
    </r>
    <r>
      <rPr>
        <i/>
        <sz val="48"/>
        <rFont val="Arial"/>
        <family val="2"/>
      </rPr>
      <t>MEDA has  not considered GEC submitted by obligated entity.</t>
    </r>
  </si>
  <si>
    <r>
      <t>As per report submitted by entity vide its letter dated 24.08.2016 Entity is obligated under RPO in OA consumer category for FY 2015-16.</t>
    </r>
    <r>
      <rPr>
        <i/>
        <sz val="48"/>
        <rFont val="Arial"/>
        <family val="2"/>
      </rPr>
      <t>MEDA has not considered GEC submitted by obligated entity.</t>
    </r>
  </si>
  <si>
    <r>
      <t>As per report submitted by entity vide its letter dated 24.08.2016 Entity is obligated under RPO in OA consumer category for FY 2015-16.</t>
    </r>
    <r>
      <rPr>
        <i/>
        <sz val="48"/>
        <rFont val="Arial"/>
        <family val="2"/>
      </rPr>
      <t>MEDA has  not considered GEC submitted by obligated entity.</t>
    </r>
  </si>
  <si>
    <r>
      <t>As per report submitted by entity vide its letter dated 19.08.2016 Entity is obligated under RPO in OA consumer category for FY 2015-16.</t>
    </r>
    <r>
      <rPr>
        <i/>
        <sz val="48"/>
        <rFont val="Arial"/>
        <family val="2"/>
      </rPr>
      <t>MEDA has not considered GEC submitted by obligated entity.</t>
    </r>
  </si>
  <si>
    <r>
      <t>As per report submitted by entity vide its letter dated 13.05.2017 Entity is obligated under RPO in OA consumer category for FY 2015-16.</t>
    </r>
    <r>
      <rPr>
        <i/>
        <sz val="48"/>
        <rFont val="Arial"/>
        <family val="2"/>
      </rPr>
      <t>MEDA has not considered GEC submitted by obligated entity.</t>
    </r>
  </si>
  <si>
    <r>
      <t>As per report submitted by entity vide its letter dated 21.11.2018 Entity is obligated under RPO in OA consumer category for FY 2015-16.</t>
    </r>
    <r>
      <rPr>
        <i/>
        <sz val="48"/>
        <rFont val="Arial"/>
        <family val="2"/>
      </rPr>
      <t>MEDA has  not considered GEC submitted by obligated entity.</t>
    </r>
  </si>
  <si>
    <r>
      <t>As per report submitted by entity vide its letter dated 30.06.2017 Entity is obligated under RPO in OA consumer category for FY 2015-16.</t>
    </r>
    <r>
      <rPr>
        <i/>
        <sz val="48"/>
        <rFont val="Arial"/>
        <family val="2"/>
      </rPr>
      <t>MEDA has not considered GEC submitted by obligated entity.</t>
    </r>
  </si>
  <si>
    <r>
      <t>As per report submitted by entity vide its letter dated 02.09.2017 Entity is obligated under RPO in OA consumer category for FY 2015-16.</t>
    </r>
    <r>
      <rPr>
        <i/>
        <sz val="48"/>
        <rFont val="Arial"/>
        <family val="2"/>
      </rPr>
      <t>MEDA has not considered GEC submitted by obligated entity.</t>
    </r>
  </si>
  <si>
    <r>
      <t>As per report submitted by entity vide its letter dated 16.08.2018 Entity is obligated under RPO in OA consumer category for FY 2015-16.</t>
    </r>
    <r>
      <rPr>
        <i/>
        <sz val="48"/>
        <rFont val="Arial"/>
        <family val="2"/>
      </rPr>
      <t>MEDA has  not considered GEC submitted by obligated entity.</t>
    </r>
  </si>
  <si>
    <r>
      <t>As per report submitted by entity vide its letter dated 07.12.2017 Entity is obligated under RPO in OA consumer category for FY 2015-16.</t>
    </r>
    <r>
      <rPr>
        <i/>
        <sz val="48"/>
        <rFont val="Arial"/>
        <family val="2"/>
      </rPr>
      <t>MEDA has not considered GEC submitted by obligated entity.</t>
    </r>
  </si>
  <si>
    <r>
      <t>As per report submitted by entity vide its letter dated 18.12.2018 Entity is obligated under RPO in OA consumer category for FY 2015-16.</t>
    </r>
    <r>
      <rPr>
        <i/>
        <sz val="48"/>
        <rFont val="Arial"/>
        <family val="2"/>
      </rPr>
      <t>MEDA has not considered GEC submitted by obligated entity.</t>
    </r>
  </si>
  <si>
    <r>
      <t>As per report submitted by entity vide its letter dated 13.09.2016 Entity is obligated under RPO in OA consumer category for FY 2015-16.</t>
    </r>
    <r>
      <rPr>
        <i/>
        <sz val="48"/>
        <rFont val="Arial"/>
        <family val="2"/>
      </rPr>
      <t>MEDA has not considered GEC submitted by obligated entity.</t>
    </r>
  </si>
  <si>
    <r>
      <t>As per report submitted by entity vide its letter dated 12.07.2019 Entity is obligated under RPO in OA consumer category for FY 2015-16.</t>
    </r>
    <r>
      <rPr>
        <i/>
        <sz val="48"/>
        <rFont val="Arial"/>
        <family val="2"/>
      </rPr>
      <t>MEDA has  not considered GEC submitted by obligated entity.</t>
    </r>
  </si>
  <si>
    <r>
      <t>As per report submitted by entity vide its letter dated 05.07.2017 Entity is obligated under RPO in OA consumer category for FY 2015-16.</t>
    </r>
    <r>
      <rPr>
        <i/>
        <sz val="48"/>
        <rFont val="Arial"/>
        <family val="2"/>
      </rPr>
      <t>MEDA has not considered GEC submitted by obligated entity.</t>
    </r>
  </si>
  <si>
    <r>
      <t>As per report submitted by entity vide its letter dated 27.02.2019 Entity is obligated under RPO in OA consumer category for FY 2015-16.</t>
    </r>
    <r>
      <rPr>
        <i/>
        <sz val="48"/>
        <rFont val="Arial"/>
        <family val="2"/>
      </rPr>
      <t>MEDA has not considered GEC submitted by obligated entity.</t>
    </r>
  </si>
  <si>
    <t>No report has been submitted by entity. However GEC of entity have been considered from AEML   email dated 31.08.2018 submitted to MEDA</t>
  </si>
  <si>
    <t xml:space="preserve">No report has been submitted by entity. However GEC of entity have been considered from AEML   email dated 31.08.2018 submitted to MEDA </t>
  </si>
  <si>
    <t xml:space="preserve">No report has been submitted by entity. However GEC of entity have been considered from TPC-D   email dated 08.09.2018 submitted to MEDA </t>
  </si>
  <si>
    <t>No report has been submitted by entity. However GEC of entity have been considered from MSEDCL verification e-mail dated 03.11.2018 submitted to MEDA</t>
  </si>
  <si>
    <t>No report has been submitted by entity. However GEC of entity have been considered from MSEDCL verification e-mail dated 03.11.2018 submitted to MEDA.</t>
  </si>
  <si>
    <t xml:space="preserve">need to check GEC from MSEDCL </t>
  </si>
  <si>
    <t xml:space="preserve">No report has been submitted by entity. However GEC of entity have been considered from MSEDCL verification e-mail dated 03.11.2018 submitted to MEDA </t>
  </si>
  <si>
    <t>No report has been submitted by entity. However GEC of entity have been considered from MSEDCL verification e-mail dated 03.11.2018 submitted to MEDA .</t>
  </si>
  <si>
    <t xml:space="preserve">MSEDCL has verified  &amp; submitted GEC before loss &amp; </t>
  </si>
  <si>
    <t>As per report submitted by entity vide its letter dated 04.10.2016, Entity is obligated under RPO in OA consumer category for FY 2015-16. MEDA has not considered  GEC sumitted by Obligated entity</t>
  </si>
  <si>
    <r>
      <t>As per report submitted by entity vide its letter dated 07.04.2018, Entity is obligated under RPO in OA consumer category for FY 2016-17.Entity have purchased surplus RECs.</t>
    </r>
    <r>
      <rPr>
        <i/>
        <sz val="48"/>
        <rFont val="Arial"/>
        <family val="2"/>
      </rPr>
      <t>MEDA has d not considered GEC submitted by obligated entity.</t>
    </r>
  </si>
  <si>
    <r>
      <t xml:space="preserve">As per report submitted by entity vide its letter dated 29.04.2017, Entity is obligated under RPO in OA consumer category for FY 2016-17. </t>
    </r>
    <r>
      <rPr>
        <i/>
        <sz val="48"/>
        <rFont val="Arial"/>
        <family val="2"/>
      </rPr>
      <t>MEDA has considered GEC submitted by obligated entity.</t>
    </r>
  </si>
  <si>
    <r>
      <t>As per report submitted by entity vide its letter inward dated 24.04.2017, Entity is obligated under RPO in OA consumer category for FY 2016-17.</t>
    </r>
    <r>
      <rPr>
        <i/>
        <sz val="48"/>
        <rFont val="Arial"/>
        <family val="2"/>
      </rPr>
      <t>MEDA has not considered GEC submitted by obligated entity.</t>
    </r>
  </si>
  <si>
    <r>
      <t>As per report submitted by entity vide its letter dated 17.04.2017, Entity is obligated under RPO in OA consumer category for FY 2016-17.</t>
    </r>
    <r>
      <rPr>
        <i/>
        <sz val="48"/>
        <rFont val="Arial"/>
        <family val="2"/>
      </rPr>
      <t>MEDA has considered GEC submitted by obligated entity.</t>
    </r>
  </si>
  <si>
    <r>
      <t>As per report submitted by entity vide its letter dated 24.04.2017 &amp; 27.03.2018, Entity is obligated under RPO in OA consumer category for FY 2016-17.</t>
    </r>
    <r>
      <rPr>
        <i/>
        <sz val="48"/>
        <rFont val="Arial"/>
        <family val="2"/>
      </rPr>
      <t>MEDA has not considered GEC submitted by obligated entity.</t>
    </r>
  </si>
  <si>
    <r>
      <t>As per report submitted by entity vide its letter dated 21.09.2016, Entity is obligated under RPO in OA consumer category for FY 2016-17.</t>
    </r>
    <r>
      <rPr>
        <i/>
        <sz val="48"/>
        <color indexed="10"/>
        <rFont val="Arial"/>
        <family val="2"/>
      </rPr>
      <t>MEDA has not considered GEC submitted by obligated entity.</t>
    </r>
  </si>
  <si>
    <r>
      <t>As per report submitted by entity vide its letter dated 13.04.2017 &amp; 30.04.2019  Entity is obligated under RPO in OA consumer category for FY 2016-17.</t>
    </r>
    <r>
      <rPr>
        <i/>
        <sz val="48"/>
        <rFont val="Arial"/>
        <family val="2"/>
      </rPr>
      <t>MEDA has not considered GEC submitted by obligated entity.</t>
    </r>
  </si>
  <si>
    <r>
      <t>As per report submitted by entity vide its letter dated 13.04.2018, Entity is obligated under RPO in OA consumer category for FY 2016-17.</t>
    </r>
    <r>
      <rPr>
        <i/>
        <sz val="48"/>
        <rFont val="Arial"/>
        <family val="2"/>
      </rPr>
      <t>MEDA has not considered GEC submitted by obligated entity.</t>
    </r>
  </si>
  <si>
    <r>
      <t>As per report submitted by entity vide its letter dated 06.04.2017, Entity is obligated under RPO in OA consumer category for FY 2016-17.</t>
    </r>
    <r>
      <rPr>
        <i/>
        <sz val="48"/>
        <rFont val="Arial"/>
        <family val="2"/>
      </rPr>
      <t>MEDA has not considered GEC submitted by obligated entity.</t>
    </r>
  </si>
  <si>
    <r>
      <t>As per report submitted by entity vide its letter dated 31.07.2017, Entity is obligated under RPO in OA consumer category for FY 2016-17.</t>
    </r>
    <r>
      <rPr>
        <i/>
        <sz val="48"/>
        <rFont val="Arial"/>
        <family val="2"/>
      </rPr>
      <t>MEDA has  not considered GEC submitted by obligated entity.</t>
    </r>
  </si>
  <si>
    <r>
      <t>As per report submitted by entity vide its letter dated 21.07.2017, Entity is obligated under RPO in OA consumer category for FY 2016-17.</t>
    </r>
    <r>
      <rPr>
        <i/>
        <sz val="48"/>
        <rFont val="Arial"/>
        <family val="2"/>
      </rPr>
      <t>MEDA has not considered GEC submitted by obligated entity.</t>
    </r>
  </si>
  <si>
    <r>
      <t>As per report submitted by entity vide its letter dated 10.05.2017, Entity is obligated under RPO in OA consumer category for FY 2016-17.</t>
    </r>
    <r>
      <rPr>
        <i/>
        <sz val="48"/>
        <rFont val="Arial"/>
        <family val="2"/>
      </rPr>
      <t>MEDA has not considered GEC submitted by obligated entity.</t>
    </r>
  </si>
  <si>
    <r>
      <t>As per report submitted by entity vide its letter dated 22.11.2017, Entity is obligated under RPO in OA consumer category for FY 2016-17.</t>
    </r>
    <r>
      <rPr>
        <i/>
        <sz val="48"/>
        <rFont val="Arial"/>
        <family val="2"/>
      </rPr>
      <t>MEDA has not considered GEC submitted by obligated entity.</t>
    </r>
  </si>
  <si>
    <r>
      <t>As per report submitted by entity vide its letter dated  02.02.2017, Entity is obligated under RPO in OA consumer category for FY 2016-17.</t>
    </r>
    <r>
      <rPr>
        <i/>
        <sz val="48"/>
        <rFont val="Arial"/>
        <family val="2"/>
      </rPr>
      <t>MEDA has not considered GEC submitted by obligated entity.</t>
    </r>
  </si>
  <si>
    <r>
      <t>As per report submitted by entity vide its letter dated 27.03.2018, Entity is obligated under RPO in OA consumer category for FY 2016-17.</t>
    </r>
    <r>
      <rPr>
        <i/>
        <sz val="48"/>
        <color indexed="10"/>
        <rFont val="Arial"/>
        <family val="2"/>
      </rPr>
      <t>MEDA has not considered GEC and CD as per CA certification submitted by obligated entity.</t>
    </r>
  </si>
  <si>
    <r>
      <t>As per report submitted by entity vide its letter dated 05.06.2017, Entity is obligated under RPO in OA consumer category for FY 2016-17.</t>
    </r>
    <r>
      <rPr>
        <i/>
        <sz val="48"/>
        <rFont val="Arial"/>
        <family val="2"/>
      </rPr>
      <t>MEDA has not considered GEC submitted by obligated entity.</t>
    </r>
  </si>
  <si>
    <r>
      <t>As per report submitted by entity vide its letter dated 30.03.2018, Entity is obligated under RPO in OA consumer category for FY 2016-17.</t>
    </r>
    <r>
      <rPr>
        <i/>
        <sz val="48"/>
        <rFont val="Arial"/>
        <family val="2"/>
      </rPr>
      <t>MEDA has not considered GEC submitted by obligated entity.</t>
    </r>
  </si>
  <si>
    <r>
      <t>As per report submitted by entity vide its letter dated 12.06.2017, Entity is obligated under RPO in OA consumer category for FY 2016-17.</t>
    </r>
    <r>
      <rPr>
        <i/>
        <sz val="48"/>
        <rFont val="Arial"/>
        <family val="2"/>
      </rPr>
      <t>MEDA has not considered GEC submitted by obligated entity.</t>
    </r>
  </si>
  <si>
    <r>
      <t>As per report submitted by entity vide its letter dated 28.03.2018, Entity is obligated under RPO in OA consumer category for FY 2016-17.</t>
    </r>
    <r>
      <rPr>
        <i/>
        <sz val="48"/>
        <rFont val="Arial"/>
        <family val="2"/>
      </rPr>
      <t>MEDA has not considered GEC submitted by obligated entity.</t>
    </r>
  </si>
  <si>
    <r>
      <t>As per report submitted by entity vide its letter dated 05.04.2017, Entity is obligated under RPO in OA consumer category for FY 2016-17.</t>
    </r>
    <r>
      <rPr>
        <i/>
        <sz val="48"/>
        <rFont val="Arial"/>
        <family val="2"/>
      </rPr>
      <t>MEDA has not considered GEC submitted by obligated entity.</t>
    </r>
  </si>
  <si>
    <r>
      <t xml:space="preserve">As per report submitted by entity vide its letter dated 03.10.2016, Entity is obligated under RPO in OA consumer category for FY 2016-17.Entity has submitted report up to Q-II. </t>
    </r>
    <r>
      <rPr>
        <i/>
        <sz val="48"/>
        <rFont val="Arial"/>
        <family val="2"/>
      </rPr>
      <t>MEDA has considered GEC as per the report submitted by MSEDCL and not considered GEC submitted by obligated entity.</t>
    </r>
  </si>
  <si>
    <r>
      <t>As per report submitted by entity vide its letter dated 31.05.2018, Entity is obligated under RPO in OA consumer category for FY 2016-17.</t>
    </r>
    <r>
      <rPr>
        <i/>
        <sz val="48"/>
        <rFont val="Arial"/>
        <family val="2"/>
      </rPr>
      <t>MEDA has  not considered GEC submitted by obligated entity.</t>
    </r>
  </si>
  <si>
    <r>
      <t>As per report submitted by entity vide its letter dated 29.09.2016, 06.12.2016,25.02.2017&amp; 12.05.2017, Entity is obligated under RPO in OA consumer category for FY 2016-17.</t>
    </r>
    <r>
      <rPr>
        <i/>
        <sz val="48"/>
        <rFont val="Arial"/>
        <family val="2"/>
      </rPr>
      <t>MEDA has  not considered GEC submitted by obligated entity.</t>
    </r>
  </si>
  <si>
    <r>
      <t>As per report submitted by entity vide its letter dated 14.07.2017, Entity is obligated under RPO in OA consumer category for FY 2016-17.</t>
    </r>
    <r>
      <rPr>
        <i/>
        <sz val="48"/>
        <rFont val="Arial"/>
        <family val="2"/>
      </rPr>
      <t>MEDA has not considered GEC submitted by obligated entity.</t>
    </r>
  </si>
  <si>
    <t>As per report submitted by entity vide its letter dated 31.03.2018, Entity is obligated under RPO in OA consumer category for FY 2016-17.Entity have submitted solar procurment 0.348MUs which is generated by their internal grid connected 230Kw solar project.MEDA has considered GEC as per the report submitted by MSEDCL and not considered GEC submitted by obligated entity.</t>
  </si>
  <si>
    <r>
      <t xml:space="preserve">As per report submitted by entity vide its letter dated 13.06.2018, Entity is obligated under RPO in OA consumer category for FY 2016-17. </t>
    </r>
    <r>
      <rPr>
        <i/>
        <sz val="48"/>
        <rFont val="Arial"/>
        <family val="2"/>
      </rPr>
      <t>MEDA has not considered GEC submitted by obligated entity.</t>
    </r>
  </si>
  <si>
    <r>
      <t xml:space="preserve">As per report submitted by entity vide its e-mail  dated 02.06.2018, Entity is obligated under RPO in OA consumer category for FY 2016-17. </t>
    </r>
    <r>
      <rPr>
        <i/>
        <sz val="48"/>
        <rFont val="Arial"/>
        <family val="2"/>
      </rPr>
      <t>MEDA has not considered GEC submitted by obligated entity.</t>
    </r>
  </si>
  <si>
    <t>As per report submitted by entity vide its e-mail  dated 02.06.2018, Entity is obligated under RPO in OA consumer category for FY 2016-17. MEDA has  not considered GEC submitted by obligated entity.</t>
  </si>
  <si>
    <r>
      <t xml:space="preserve">As per report submitted by entity vide its letter dated 21.11.2018, Entity is obligated under RPO in OA consumer category for FY 2016-17. </t>
    </r>
    <r>
      <rPr>
        <i/>
        <sz val="48"/>
        <rFont val="Arial"/>
        <family val="2"/>
      </rPr>
      <t>MEDA has not considered GEC submitted by obligated entity.</t>
    </r>
  </si>
  <si>
    <r>
      <t>As per report submitted by entity vide its letter dated 15.04.2017, Entity is obligated under RPO in OA consumer category for FY 2016-17.</t>
    </r>
    <r>
      <rPr>
        <i/>
        <sz val="48"/>
        <rFont val="Arial"/>
        <family val="2"/>
      </rPr>
      <t>MEDA has not considered GEC submitted by obligated entity.</t>
    </r>
  </si>
  <si>
    <r>
      <t xml:space="preserve">As per report submitted by entity vide its letter dated 18.05.2017 &amp; 03.07.2019, Entity is obligated under RPO in OA consumer category for FY 2016-17. </t>
    </r>
    <r>
      <rPr>
        <i/>
        <sz val="48"/>
        <rFont val="Arial"/>
        <family val="2"/>
      </rPr>
      <t>MEDA has not considered GEC submitted by obligated entity.</t>
    </r>
  </si>
  <si>
    <r>
      <t>As per report submitted by entity vide its e-mail dated 15.07.2019, Entity is obligated under RPO in OA consumer category for FY 2016-17.</t>
    </r>
    <r>
      <rPr>
        <i/>
        <sz val="48"/>
        <rFont val="Arial"/>
        <family val="2"/>
      </rPr>
      <t>MEDA has  not considered GEC submitted by obligated entity.</t>
    </r>
  </si>
  <si>
    <r>
      <t xml:space="preserve">As per report submitted by entity vide its letter dated 24.04.2018 &amp; 30.07.2019, Entity is obligated under RPO in OA consumer category for FY 2016-17. </t>
    </r>
    <r>
      <rPr>
        <i/>
        <sz val="48"/>
        <rFont val="Arial"/>
        <family val="2"/>
      </rPr>
      <t>MEDA has not considered GEC submitted by obligated entity.</t>
    </r>
  </si>
  <si>
    <r>
      <t xml:space="preserve">As per report submitted by entity vide its letter dated 10.04.2018, Entity is obligated under RPO in OA consumer category for FY 2016-17. </t>
    </r>
    <r>
      <rPr>
        <i/>
        <sz val="48"/>
        <rFont val="Arial"/>
        <family val="2"/>
      </rPr>
      <t>MEDA has  not considered GEC submitted by obligated entity.</t>
    </r>
  </si>
  <si>
    <t>As per report submitted by entity vide its letter dated 30.07.2019, Entity is obligated under RPO in OA consumer category for FY 2016-17. MEDA has  not considered GEC submitted by obligated entity.</t>
  </si>
  <si>
    <t>As per report submitted by entity vide its letter dated 02.08.2019, Entity is obligated under RPO in OA consumer category for FY 2016-17. MEDA has not considered GEC submitted by obligated entity.</t>
  </si>
  <si>
    <t xml:space="preserve">No report has been submitted by entity. However GEC of entity have been considered from MSEDCL verification e-mail dated 27.06.2019 submitted to MEDA </t>
  </si>
  <si>
    <t>No report has been submitted by entity. However GEC of entity have been considered from MSEDCL verification e-mail dated 27.06.2019 submitted to MEDA</t>
  </si>
  <si>
    <t>No report has been submitted by entity. However GEC of entity have been considered from MSEDCL verification e-mail dated 27.06.2019 submitted to MEDA.</t>
  </si>
  <si>
    <t>TPC-D has verified  the GEC &amp; Contract demand loss</t>
  </si>
  <si>
    <t xml:space="preserve">TPC-D has verified  the GEC &amp; Contract demand loss </t>
  </si>
  <si>
    <t xml:space="preserve">MSEDCL has verified &amp; submitted GEC before loss . </t>
  </si>
  <si>
    <t>As per report submitted by entity vide its letter dated 20.08.2019, entity have submitted non solar RE procurement. Also entity have submitted solar power procurement from their internal grid plant,but MEDA  has not consider their solar procurement and partially fulfilled the target.</t>
  </si>
  <si>
    <t xml:space="preserve">MSEDCL has verified &amp; submitted GEC before loss. </t>
  </si>
  <si>
    <t xml:space="preserve">MSEDCL has verified &amp; submitted GEC before loss </t>
  </si>
  <si>
    <t>As per OA billing data</t>
  </si>
  <si>
    <t xml:space="preserve">As per OA billing data </t>
  </si>
  <si>
    <t xml:space="preserve">MSEDCL has verified &amp; submitted GEC before loss  </t>
  </si>
  <si>
    <t xml:space="preserve">Summary of RPO report of Obligated OA Consumers </t>
  </si>
  <si>
    <t>Solar RPO Target in MUs</t>
  </si>
  <si>
    <t>Non-Solar RPO Target in MUs</t>
  </si>
  <si>
    <r>
      <t xml:space="preserve">Entity vide its letter dated 05.12.2018 submitted the RPO data and RE/REC Procurement details. Entity has fulfilled the RPO by procuring S / NS RECs. </t>
    </r>
    <r>
      <rPr>
        <i/>
        <sz val="48"/>
        <rFont val="Times New Roman"/>
        <family val="1"/>
      </rPr>
      <t xml:space="preserve">MEDA has  not considered GEC submitted by obligated entity. </t>
    </r>
  </si>
  <si>
    <r>
      <t>As per report submitted by entity vide its letter dated 27.09.2016, Entity is obligated under RPO in OA consumer category for FY 2015-16.</t>
    </r>
    <r>
      <rPr>
        <i/>
        <sz val="48"/>
        <rFont val="Times New Roman"/>
        <family val="1"/>
      </rPr>
      <t>MEDA has not considered GEC submitted by obligated entity.</t>
    </r>
  </si>
  <si>
    <r>
      <t xml:space="preserve">As per report submitted by entity vide its letter dated 05.12.2018, Entity is obligated under RPO in OA consumer category for FY 2016-17. </t>
    </r>
    <r>
      <rPr>
        <i/>
        <sz val="48"/>
        <rFont val="Times New Roman"/>
        <family val="1"/>
      </rPr>
      <t>MEDA has  not considered GEC submitted by obligated entity.</t>
    </r>
  </si>
  <si>
    <r>
      <t xml:space="preserve">Entity vide its letter dated 30.08.2016 submitted the RPO data and RE/REC Procurement details. Entity has fulfilled the RPO by procuring S / NS RECs. </t>
    </r>
    <r>
      <rPr>
        <i/>
        <sz val="48"/>
        <rFont val="Times New Roman"/>
        <family val="1"/>
      </rPr>
      <t xml:space="preserve">MEDA has  not considered GEC submitted by obligated entity. </t>
    </r>
  </si>
  <si>
    <r>
      <t>As per report submitted by entity vide its letter dated 30.08.2016 Entity is obligated under RPO in OA consumer category for FY 2015-16.</t>
    </r>
    <r>
      <rPr>
        <i/>
        <sz val="48"/>
        <rFont val="Times New Roman"/>
        <family val="1"/>
      </rPr>
      <t>MEDA has not considered GEC submitted by obligated entity.</t>
    </r>
  </si>
  <si>
    <r>
      <t xml:space="preserve">Entity vide its letter dated 17.04.2017 submitted the RPO data and RE/REC Procurement details. Entity has fulfilled the RPO by procuring S / NS RECs. </t>
    </r>
    <r>
      <rPr>
        <i/>
        <sz val="48"/>
        <rFont val="Times New Roman"/>
        <family val="1"/>
      </rPr>
      <t xml:space="preserve">MEDA has not considered GEC submitted by obligated entity. </t>
    </r>
  </si>
  <si>
    <r>
      <t>As per report submitted by entity vide its letter dated 24.08.2016,17.04.2017 Entity is obligated under RPO in OA consumer category for FY 2015-16.</t>
    </r>
    <r>
      <rPr>
        <i/>
        <sz val="48"/>
        <rFont val="Times New Roman"/>
        <family val="1"/>
      </rPr>
      <t>MEDA has  not considered GEC submitted by obligated entity.</t>
    </r>
  </si>
  <si>
    <t>MSEDCL</t>
  </si>
  <si>
    <t xml:space="preserve">Amba River Coke Ltd (Subsidiary of JSW  Steel Ltd.) Geetapuram, Dolvi, Tal: Pen, Dist: Raigad- 402 107          
</t>
  </si>
  <si>
    <t xml:space="preserve">Adlabs Entertainment Ltd,                                  30/31, Sangdewadi, Pali-Khopoli Road, Tal-Khalapur, Off Mumbai-Pune Express Way, Raigad, Khopoli, Maharashtra 410206                           </t>
  </si>
  <si>
    <t xml:space="preserve">Alicon Cast Alloys Ltd.,                                     Gat No:1426,Shikrapur,Tal-Shirur,Dist:Pune-412208.                                 
  </t>
  </si>
  <si>
    <t>AEML</t>
  </si>
  <si>
    <r>
      <t xml:space="preserve">ABHISHEK COTSPIN MILLS LTD.       GAT NO 148 TAMGAON DIST KOLHAPUR-416234                   </t>
    </r>
    <r>
      <rPr>
        <b/>
        <sz val="48"/>
        <rFont val="Times New Roman"/>
        <family val="1"/>
      </rPr>
      <t xml:space="preserve">
</t>
    </r>
  </si>
  <si>
    <r>
      <t xml:space="preserve">ACG ASSOCIATED CAPSULES PVT LTD                                                                 SHINDEWADI TAL KHANDALA DIST SATARA SHINDEWADI-412801
</t>
    </r>
    <r>
      <rPr>
        <b/>
        <sz val="48"/>
        <rFont val="Times New Roman"/>
        <family val="1"/>
      </rPr>
      <t xml:space="preserve">
</t>
    </r>
  </si>
  <si>
    <r>
      <t xml:space="preserve">ACG Associated Capsules Pvt. Ltd
131 KANDIVALI INDUSTRIAL ESTATE,KANDIVALI  WEST,MUMBAI - 400067                </t>
    </r>
    <r>
      <rPr>
        <b/>
        <sz val="48"/>
        <rFont val="Times New Roman"/>
        <family val="1"/>
      </rPr>
      <t xml:space="preserve">      </t>
    </r>
    <r>
      <rPr>
        <sz val="48"/>
        <rFont val="Times New Roman"/>
        <family val="1"/>
      </rPr>
      <t xml:space="preserve">                  </t>
    </r>
    <r>
      <rPr>
        <b/>
        <sz val="48"/>
        <rFont val="Times New Roman"/>
        <family val="1"/>
      </rPr>
      <t xml:space="preserve">
</t>
    </r>
  </si>
  <si>
    <t xml:space="preserve">Amcor Rigid Plastics India Pvt. Ltd.,                                                               Gat No. 119-123, Dhanore Village, Alandi-Markal Road, Khed, Pune - 412 105                   </t>
  </si>
  <si>
    <t xml:space="preserve">Anna Bhau Ajara Taluka Shetkari Sahakari Soot Girani Ltd,                      Ajara,Gat no.108-109,At.Khed,Post-Madilage,Tal-Ajara,Dist-Kolhapur-416505.                                         </t>
  </si>
  <si>
    <r>
      <t xml:space="preserve">ArcelorMittal Nippon Steel India Limited (formerly Essar steel India Ltd. )                             Gat No.740, Sanaswadi, Pune Nagar Road,Pune 412208     </t>
    </r>
    <r>
      <rPr>
        <b/>
        <sz val="47"/>
        <rFont val="Arial"/>
        <family val="2"/>
      </rPr>
      <t xml:space="preserve">   </t>
    </r>
  </si>
  <si>
    <t xml:space="preserve">Arvind Cotspin (AC) (A Division of Arvind Ltd)                                        D/64, Gokul Shirgaon MIDC, Bus Stop Road, Kolhapur - 416234        </t>
  </si>
  <si>
    <t xml:space="preserve">Asian Colour Coated Ispat Ltd.                                             Vill. Dahivali, Tal.- Khalapur,Dist. - Raigad-410203.                                    </t>
  </si>
  <si>
    <t xml:space="preserve">Asahi India Glass Ltd,                      Plot No-T-7, MIDC-Taloja, Dist Raigad- 410208                                              </t>
  </si>
  <si>
    <r>
      <t xml:space="preserve">ASSOCIATED CAPSULES PVT LTD            GAT NO 448 ,SHINDEWADI TAL :KHANDALA DIST : SATARA, 412801                                             </t>
    </r>
    <r>
      <rPr>
        <b/>
        <sz val="48"/>
        <rFont val="Arial"/>
        <family val="2"/>
      </rPr>
      <t xml:space="preserve">
</t>
    </r>
  </si>
  <si>
    <t xml:space="preserve">Atharva Foundries Pvt Ltd.                                     Plot no.D28/1,MIDC Wai,Dist:Satara-412803                                          </t>
  </si>
  <si>
    <t xml:space="preserve">Atlas Cast Alloys Ltd                                         Plot No. 58 &amp; 59, D2,Link Road No, II MIDC Chindwad, Dist. Pune - 411 019.                                          </t>
  </si>
  <si>
    <t xml:space="preserve">AYM Syntex Ltd.                (Formerly Known as Welspun Syntex Ltd.)         Plot no.8 to 15 I&amp;J,Deewan Industries Estate,Mahim-401404.                          </t>
  </si>
  <si>
    <t xml:space="preserve">Balmer Lawrie Van Leer Ltd                     D 195/2, TTC Industrial Area,, Turbhe,MIDC,Navi Mumbai-400705.    </t>
  </si>
  <si>
    <t xml:space="preserve">BAXTER(INDIA) PVT.LTD.                      B15-2 MIDC AREA Waluj, Kamlapur, Maharashtra 431133 </t>
  </si>
  <si>
    <t xml:space="preserve">BEKAERT Industries Pvt. Ltd.                                  B-1,MIDC,Ranjangaon, Tal Shirur Dist.Pune - 412220                  </t>
  </si>
  <si>
    <r>
      <t xml:space="preserve">BHAGIRATH TEXTLES INDS P LTD Mohali,Tal: Kalmeshwar,Nagpur - 441502,Maharashtra, India 
</t>
    </r>
    <r>
      <rPr>
        <b/>
        <sz val="48"/>
        <rFont val="Arial"/>
        <family val="2"/>
      </rPr>
      <t xml:space="preserve">
</t>
    </r>
  </si>
  <si>
    <r>
      <t>Bharat Forge Ltd,                   Mundhwa,Pune-411036.</t>
    </r>
    <r>
      <rPr>
        <b/>
        <sz val="48"/>
        <rFont val="Arial"/>
        <family val="2"/>
      </rPr>
      <t xml:space="preserve">'                  </t>
    </r>
  </si>
  <si>
    <t xml:space="preserve">Bharat Gears Ltd.                                       Kausa Shil,Mumbra,Dist-Thane-400612.                                                 </t>
  </si>
  <si>
    <t xml:space="preserve">Bharat Hotels Ltd.
Sahar Airport Road,Marol, Opposite Leela Hotel, Andheri(E), Mumbai-400099                 </t>
  </si>
  <si>
    <t>TPC-D</t>
  </si>
  <si>
    <t xml:space="preserve">BHARAT PETROLEUM CORPORATION LTD.                                                         Bharat Bhavan,4&amp;6,Currimbhoy Road, Ballard Estate, Mumbai-400001, </t>
  </si>
  <si>
    <t xml:space="preserve">BILT Graphic Paper Products Ltd,                      Village-Ellure,P.O.Ashti,Tal-Chamorshi,Dist:Gadchiroli-442707.               </t>
  </si>
  <si>
    <t>Bosch  Ltd,                    Plot no.75,MIDC Estate, Trimbak Road,satpur, Post bag no:64,nashik-422007.</t>
  </si>
  <si>
    <t xml:space="preserve">Bosch Chasis Systems India Ltd,                               Gat no. 306, Village Nanekarwadi, Chakan, Pune, Maharashtra 410501                            </t>
  </si>
  <si>
    <r>
      <t xml:space="preserve">Br. Sheshrao Wankhede Sheshrao
Shetkari Sahakari Soot Girni,
Mohgaon, Butibori,
Nagpur-441108.                       </t>
    </r>
    <r>
      <rPr>
        <b/>
        <sz val="48"/>
        <rFont val="Arial"/>
        <family val="2"/>
      </rPr>
      <t xml:space="preserve">
</t>
    </r>
  </si>
  <si>
    <t xml:space="preserve">CEAT  Tyres of India Ltd                                                      Bhandup Village Road, Bhandup West, Mumbai - 400078                                   </t>
  </si>
  <si>
    <t xml:space="preserve">Can-Pack India Pvt.Ltd.       H-14/1,MIDC-Walunj,Aurangabad-431136.                                          </t>
  </si>
  <si>
    <t xml:space="preserve">CEAT Limited,                    Plot No-82, M I D C Industrial, Satpur, Nashik-422007.                     </t>
  </si>
  <si>
    <t xml:space="preserve">Century Enka Ltd.               P.B.No.17,Plot No.72 &amp; 72A,MIDC,Bhosari,Pune-411026.        </t>
  </si>
  <si>
    <t>Century Rayon, 
P.B.No. 22, Shahad, Tal-Kalyan, Dist-Thane-421103.</t>
  </si>
  <si>
    <r>
      <t xml:space="preserve">CHALET HOTELS PVT LTD,                          SURVEY NO.2 &amp; 3B NEAR CHINMAYANAND ASHRAM PAWAI MUMBAI NO.400 072. (RST DIVN)
</t>
    </r>
    <r>
      <rPr>
        <b/>
        <sz val="48"/>
        <rFont val="Arial"/>
        <family val="2"/>
      </rPr>
      <t xml:space="preserve">
</t>
    </r>
  </si>
  <si>
    <r>
      <t xml:space="preserve">Challet,
PLT NO - CTS NO 1483 ETC,HOTEL BLDG,VILLAGE MAROL, NEAR TAJ FLIGHT KITCHEN Andheri (E),Mumbai-400093                                                           </t>
    </r>
    <r>
      <rPr>
        <b/>
        <sz val="48"/>
        <rFont val="Arial"/>
        <family val="2"/>
      </rPr>
      <t xml:space="preserve">
</t>
    </r>
  </si>
  <si>
    <t xml:space="preserve">Chassis Brakes Foundation Brake Mfg. Ltd. 
Off NH-6, Bambhori, Taluka- Dharangaon, Dist- Jalgaon - 425 001                          </t>
  </si>
  <si>
    <t xml:space="preserve">Cimmco Spinners Ltd.                               (Unit of Spentex Industries Ltd)          B1, MIDC Chincholi-Kondi, NH-9, Solapur Ho, Solapur - 413001.            </t>
  </si>
  <si>
    <t xml:space="preserve">Cipla Ltd-                             D-22 MIDC Industrial Area, Kurkumbh, Baramati, Pune-413 802                                         </t>
  </si>
  <si>
    <t xml:space="preserve">Cipla Ltd.                                                       D27, MIDC Industrial Area, Kurkumbh, Baramati, Pune-413 802                                         </t>
  </si>
  <si>
    <r>
      <t xml:space="preserve">CIPLA LTD                          PLOT NO A-42 M I D C PATALGANGA TALUKA KHALAPUR DIST RAIGAD-410220                                   </t>
    </r>
    <r>
      <rPr>
        <b/>
        <sz val="48"/>
        <rFont val="Arial"/>
        <family val="2"/>
      </rPr>
      <t xml:space="preserve">
</t>
    </r>
  </si>
  <si>
    <t>Cipla Ltd.                                                       D27, MIDC Industrial Area, Kurkumbh, Baramati, Pune-413 802,</t>
  </si>
  <si>
    <t xml:space="preserve">Clariant Chemicals (India) Ltd.113/114,M.I.D.C.,IndustrialArea,A.V.Roha.A.V.P.O.Dhatav,Tal-Roha,Dist-Raigad-402116.     </t>
  </si>
  <si>
    <t xml:space="preserve">Classic Auto Tubes Ltd,                        Place-A-1/2, MIDC,Ranjangaon, Shirur, Shirur, Maharashtra 412209             </t>
  </si>
  <si>
    <r>
      <t>Cosmo Films Ltd.               Plot No.B-14-9,</t>
    </r>
    <r>
      <rPr>
        <b/>
        <sz val="48"/>
        <rFont val="Arial"/>
        <family val="2"/>
      </rPr>
      <t>MIDC,Walunj</t>
    </r>
    <r>
      <rPr>
        <sz val="48"/>
        <rFont val="Arial"/>
        <family val="2"/>
      </rPr>
      <t xml:space="preserve">-Dist-Aurangabad-431133.                                   </t>
    </r>
  </si>
  <si>
    <r>
      <t>Cosmo Films Ltd.               AL-24/1,</t>
    </r>
    <r>
      <rPr>
        <b/>
        <sz val="48"/>
        <rFont val="Arial"/>
        <family val="2"/>
      </rPr>
      <t>MIDC,Shendra</t>
    </r>
    <r>
      <rPr>
        <sz val="48"/>
        <rFont val="Arial"/>
        <family val="2"/>
      </rPr>
      <t xml:space="preserve">-Dist-Aurangabad-431001.                                   </t>
    </r>
  </si>
  <si>
    <t xml:space="preserve">Deegee Cotsyn Pvt.Ltd.       Post Box-9,"Deegee House",Rallies Road,Amravati-444601.      </t>
  </si>
  <si>
    <t xml:space="preserve">Deendayal Magasvargiya Sahakari Soot Girni Ltd.Deendayal Nagar,Waghwadi Post-Kameri Tal.Walwa Dist. Sangli 415409 </t>
  </si>
  <si>
    <r>
      <t xml:space="preserve">Deepak Nitrite Limited (APL Division)
Plot No. 1 to 6, 26 to 31, MIDC Industrial Area, Dhatav, Roha,  
Dist. Raigad 402 116, Maharashtra                                  </t>
    </r>
    <r>
      <rPr>
        <b/>
        <sz val="48"/>
        <rFont val="Arial"/>
        <family val="2"/>
      </rPr>
      <t/>
    </r>
  </si>
  <si>
    <r>
      <t xml:space="preserve">Dhanashree Industries         D-12,Old MIDC,Satara-415004.               </t>
    </r>
    <r>
      <rPr>
        <b/>
        <sz val="48"/>
        <rFont val="Arial"/>
        <family val="2"/>
      </rPr>
      <t/>
    </r>
  </si>
  <si>
    <t xml:space="preserve">Durovalves India Pvt.Ltd.                                F-57-58, MIDC Walunj, Aurangabad -431133.                           </t>
  </si>
  <si>
    <r>
      <t xml:space="preserve">EMCURE PHARMACEUTICALS LTD,                                                 Plot P-I, IT-BT Park, M.I.D.C., Hinjwadi,, Pune, Maharashtra 411057.                                           </t>
    </r>
    <r>
      <rPr>
        <b/>
        <sz val="48"/>
        <rFont val="Arial"/>
        <family val="2"/>
      </rPr>
      <t xml:space="preserve">
</t>
    </r>
  </si>
  <si>
    <t xml:space="preserve">Endurance Technologies Ltd Gat No 416, At- Takve Budruk, Tal- Maval, Dist- Pune-412106.                          </t>
  </si>
  <si>
    <t xml:space="preserve">Endurance Technologies Pvt. Ltd. Plot No. B-22, MIDC Area, Chakan, Village Nighoje , Taluka Khed, Pune, Maharashtra, India, 410501                   </t>
  </si>
  <si>
    <t xml:space="preserve">Endurance Technologies Private Limited, Plot No.B-20, MIDC Chakan,Tal-R'Nagar,Dist-Pune-412209                    </t>
  </si>
  <si>
    <t xml:space="preserve">Endurance Technologies Pvt. Ltd. B-2, M.I.D.C. Industrial Area, Post Box No. 960, Waluj.-431136                                          </t>
  </si>
  <si>
    <t xml:space="preserve">Endurance Technologies Private Limited,K-120, MIDC,Industrial Area Walunj, Aurangabad (M.S) - 431136               </t>
  </si>
  <si>
    <t>'490019041660</t>
  </si>
  <si>
    <t xml:space="preserve">ENDURANCE TECHNOLOGIES PVT. LTD.                                       Plot No. L-6/3, MIDC Industrial Area, Waluj, Aurangabad, Maharashtra, India, 431136                      </t>
  </si>
  <si>
    <t xml:space="preserve">Endurance Technologies Private Limited, Plot No.B-1/2 &amp; B-1/3,MIDC Village-Nighoje,Tal-Khed,Dist-Pune-410501.                                                </t>
  </si>
  <si>
    <r>
      <t xml:space="preserve">ENKEI WHEELS INDIA LTD.                 GAT NO.1425 AT SHIKRAPUR TAL SHIRUR DIST PUNE-412208                        </t>
    </r>
    <r>
      <rPr>
        <b/>
        <sz val="48"/>
        <rFont val="Arial"/>
        <family val="2"/>
      </rPr>
      <t xml:space="preserve">
</t>
    </r>
  </si>
  <si>
    <r>
      <t xml:space="preserve">Epcos India (P) Ltd.
A TDK Group Company
Plot no. E 22-25, MIDC, Satpur, Nashik - 422 007                 </t>
    </r>
    <r>
      <rPr>
        <b/>
        <sz val="48"/>
        <rFont val="Arial"/>
        <family val="2"/>
      </rPr>
      <t/>
    </r>
  </si>
  <si>
    <r>
      <t xml:space="preserve">ETCO INDUSTRIES PVT LTD             PLOT NO B2/B3 MIDC AREA PARBHANI TQ. DIST PARBHANI,Maharashtra – 431404,       </t>
    </r>
    <r>
      <rPr>
        <b/>
        <sz val="48"/>
        <rFont val="Arial"/>
        <family val="2"/>
      </rPr>
      <t xml:space="preserve">
</t>
    </r>
  </si>
  <si>
    <t xml:space="preserve">Eurotex Industries &amp; Exports Ltd, 
Plot No. E-1 &amp; E-23 , MIDC, Gokul Shirgaon, Dist Kolhapur-416 234                     </t>
  </si>
  <si>
    <t xml:space="preserve">Excel Industries Limited, PLOT NO.112, 20/1, MIDC DHATAV  TAL. ROHA, Dist-Raigad-402116.                    </t>
  </si>
  <si>
    <t xml:space="preserve">Exide Industries Ltd .          Plot No.E-5,MIDC,Industrial Area,Ahmadnagar-414111.   </t>
  </si>
  <si>
    <t xml:space="preserve">Exide Industries Ltd, D-2 Block, MIDC Chinchwad, Pune-411019                           </t>
  </si>
  <si>
    <r>
      <t xml:space="preserve">Exide Industries Ltd. Plot No. T-17, MIDC, Taloja,  Dist. Raigad-410208                        </t>
    </r>
    <r>
      <rPr>
        <b/>
        <sz val="48"/>
        <rFont val="Arial"/>
        <family val="2"/>
      </rPr>
      <t/>
    </r>
  </si>
  <si>
    <t xml:space="preserve">Garware Wall Ropes Ltd.                      PUNE Block No. D1, Plot No.11, Bhosari Industrial Estate, Bhosari, Dist. Pune-411019                                          </t>
  </si>
  <si>
    <t xml:space="preserve">Garware Wall Ropes Ltd. Wai Plot No. C1, MIDC Wai, TAL. Wai, Satara-412803                           </t>
  </si>
  <si>
    <t xml:space="preserve">Gharda Chemicals Ltd. 
Plot No. B-27-29, MIDC, Dombivali, Dist- Thane- 421 203                   </t>
  </si>
  <si>
    <r>
      <t xml:space="preserve">Gimatex Industries Pvt. Ltd.                                  7,Km Mile Stone,N.H.No.7,Village-Wani,Tah-Hinganghat,Dist-Wardha ,MH-442301.
(RAMMANDIR WARD HINGANGHAT HINGANGHAT)
 </t>
    </r>
    <r>
      <rPr>
        <b/>
        <sz val="48"/>
        <rFont val="Arial"/>
        <family val="2"/>
      </rPr>
      <t xml:space="preserve">
</t>
    </r>
  </si>
  <si>
    <r>
      <t xml:space="preserve">GIMATEX INDUSTRIES PVT. LTD.                   UNIT NO -II, KHASARA NO 54/2, 7 KM MILE STONE N.H. NO. 7,AT VG. WANI, TAL-HINGANGHAT,DIST-WARDHA-442301
</t>
    </r>
    <r>
      <rPr>
        <b/>
        <sz val="48"/>
        <rFont val="Arial"/>
        <family val="2"/>
      </rPr>
      <t xml:space="preserve">
</t>
    </r>
  </si>
  <si>
    <t xml:space="preserve">Gimatex Industries Pvt. Ltd. 7,Km Mile Stone,N.H.No.7,Village-Wani,Tah-Hinganghat,Dist-Wardha ,MH-442301.                   </t>
  </si>
  <si>
    <r>
      <t xml:space="preserve">GTN ENGINEERING (INDIA) LTD.                D-49,MIDC,BARAMATI, TAL-BARAMATI, DIST-PUNE-413133                       </t>
    </r>
    <r>
      <rPr>
        <b/>
        <sz val="48"/>
        <rFont val="Arial"/>
        <family val="2"/>
      </rPr>
      <t xml:space="preserve">
</t>
    </r>
  </si>
  <si>
    <r>
      <t xml:space="preserve">GTN INDUSTRIES LTD Nagpur Unit,Village Khurajgaon,Tah-Saoner-441112,Dist:Nagpur.
</t>
    </r>
    <r>
      <rPr>
        <b/>
        <sz val="48"/>
        <rFont val="Arial"/>
        <family val="2"/>
      </rPr>
      <t xml:space="preserve">
</t>
    </r>
  </si>
  <si>
    <r>
      <t xml:space="preserve">H &amp; R Johnson (India) Ltd. (A Division of Prism Cement Ltd, Pen)                         
Gadab, Tal-Pen, Raigad-402107                                  </t>
    </r>
    <r>
      <rPr>
        <b/>
        <sz val="48"/>
        <rFont val="Arial"/>
        <family val="2"/>
      </rPr>
      <t>:</t>
    </r>
  </si>
  <si>
    <t xml:space="preserve">Hikal Limited
T-21, MIDC Ind. Area, Taloja, Pin-410208.            </t>
  </si>
  <si>
    <t xml:space="preserve">Hindalco Industries Limited
 Ramtek Mouda Road, Village Dali,  Tal.Mouda, Dist.Nagpur -441 104                              </t>
  </si>
  <si>
    <t xml:space="preserve">Hindalco Industries Limited, Plot No 2, Post Box No 5, Taloja MIDC, Raigad- 410208          </t>
  </si>
  <si>
    <t xml:space="preserve">Hindustan National Glass &amp; Industries Ltd., (HNGIL), Nashik Glass Works, F1, MIDC Malegaon, Tal. Sinner, District- Nashik- 422 113                           </t>
  </si>
  <si>
    <t xml:space="preserve">Hindustan Petroleum Corporation Ltd.                  Mumbai refinery,B.D.Patil Marg,Mahul,Mumbai-400074.              </t>
  </si>
  <si>
    <t xml:space="preserve">INDIA STEEL WORK LTD, ZENITH COMPOUND KHOPOLI, TAL-KHALAPUR , DIST-RAIGAD MHARASHTRA  410203                  </t>
  </si>
  <si>
    <t xml:space="preserve">Hoganas India Pvt. Ltd.,        Ganaga Commerce,4,North Main Road,Koregaon Park,Pune-411011.   </t>
  </si>
  <si>
    <r>
      <t xml:space="preserve">INDAPUR DAIRY &amp; MILK PRODUCTS LTD.                  AT &amp; POST GOKHALI, TAL. INDAPUR, DIST. PUNE GOKHALI -413106.                       </t>
    </r>
    <r>
      <rPr>
        <b/>
        <sz val="48"/>
        <rFont val="Arial"/>
        <family val="2"/>
      </rPr>
      <t xml:space="preserve">
</t>
    </r>
  </si>
  <si>
    <r>
      <t xml:space="preserve">INDIRA GANDHI MAHILA S SOOT GIRNI LT             GATNO 665/666 AT POST- SHIBNAKWADI, TALUKA-SHIROL, DIST. KOLHAPUR,Ichalkaranji - 416115, Maharashtra                      </t>
    </r>
    <r>
      <rPr>
        <b/>
        <sz val="48"/>
        <rFont val="Arial"/>
        <family val="2"/>
      </rPr>
      <t xml:space="preserve">
</t>
    </r>
  </si>
  <si>
    <t xml:space="preserve">Indo Count Industries Ltd,                             D-1,MIDC,Gokul Shirgaon,Kolhapur-416234.  </t>
  </si>
  <si>
    <r>
      <t>Indo Count Industries Ltd,     T-3,kagal-Hatkanangale Five Star MIDC Ind.area,Kolhapur-416216.</t>
    </r>
    <r>
      <rPr>
        <b/>
        <sz val="48"/>
        <rFont val="Arial"/>
        <family val="2"/>
      </rPr>
      <t>Consumer No:</t>
    </r>
  </si>
  <si>
    <t xml:space="preserve">Indofil Industries Ltd. OFF SWAMI VIVEKANAND ROAD, AZAD NAGAR, SANDOZ BAUG P.O. THANE - 400 607                                          </t>
  </si>
  <si>
    <r>
      <t xml:space="preserve">Indoworth India Limited
B-130, MIDC Industrial Area, Butibori, Nagpur - 441122 </t>
    </r>
    <r>
      <rPr>
        <b/>
        <sz val="48"/>
        <rFont val="Arial"/>
        <family val="2"/>
      </rPr>
      <t>Consumer no:</t>
    </r>
  </si>
  <si>
    <r>
      <t xml:space="preserve">Inox Air Products Pvt Ltd.                 B-93,Vile bhagad MIDC,Tlika-Mangaon,Dist-Raigad-402308.                  </t>
    </r>
    <r>
      <rPr>
        <b/>
        <sz val="48"/>
        <rFont val="Arial"/>
        <family val="2"/>
      </rPr>
      <t>Consumer No:</t>
    </r>
  </si>
  <si>
    <r>
      <t>Inox Air Products Pvt Ltd.     Plot No.B-131,MIDC Indl.Area,Butibori,Dist-Nagpur-441122.</t>
    </r>
    <r>
      <rPr>
        <b/>
        <sz val="48"/>
        <rFont val="Arial"/>
        <family val="2"/>
      </rPr>
      <t>Consumer No:</t>
    </r>
  </si>
  <si>
    <r>
      <t xml:space="preserve">ISIBARS Limited,                               Zenith Compound, Zenith Colony, Khopoli, Maharashtra 410203                                      </t>
    </r>
    <r>
      <rPr>
        <b/>
        <sz val="48"/>
        <rFont val="Arial"/>
        <family val="2"/>
      </rPr>
      <t>Consumer No:</t>
    </r>
  </si>
  <si>
    <r>
      <t xml:space="preserve">ISMT Ltd.,                          C-1,MIDC,Ahmadnagar-414111.                              </t>
    </r>
    <r>
      <rPr>
        <b/>
        <sz val="48"/>
        <rFont val="Arial"/>
        <family val="2"/>
      </rPr>
      <t>Consumer No:</t>
    </r>
  </si>
  <si>
    <t xml:space="preserve">Jain Irrigation Systems Ltd.                                                         
Gat No. 139/8, Jain Energy Park, Shirsoli, Dist. - Jalgaon- 425001,                                              </t>
  </si>
  <si>
    <r>
      <t xml:space="preserve">Jain Irrigation Systems Ltd.MIS Division,Jain Plastic Park,Bambhori,Jalgaon - 425001,                        MSEDCL </t>
    </r>
    <r>
      <rPr>
        <b/>
        <sz val="48"/>
        <rFont val="Arial"/>
        <family val="2"/>
      </rPr>
      <t>Consumer no.</t>
    </r>
  </si>
  <si>
    <t xml:space="preserve">Jawahar Shetkari Soot Girani Ltd. Hutatma Shirishkumar Nagar,, A.P. Morane (Laling),, Dhule, Maharashtra 424001     </t>
  </si>
  <si>
    <r>
      <t xml:space="preserve">Jawahar Shetkari Soot Girani Ltd. Hutatma Shirishkumar Nagar,, A.P. Morane (Laling),, Dhule, Maharashtra 424001 </t>
    </r>
    <r>
      <rPr>
        <b/>
        <sz val="48"/>
        <rFont val="Arial"/>
        <family val="2"/>
      </rPr>
      <t>Unit-AB, Consumer No:</t>
    </r>
  </si>
  <si>
    <r>
      <t xml:space="preserve">JCB India Ltd,                                       PL.No.A/A MIDC Talegaon-Dabhade,Tal.Maval,Dist:Pune-410507.                          </t>
    </r>
    <r>
      <rPr>
        <b/>
        <sz val="48"/>
        <rFont val="Arial"/>
        <family val="2"/>
      </rPr>
      <t>Consumer No:</t>
    </r>
  </si>
  <si>
    <r>
      <t xml:space="preserve">Jindal Poly Films Ltd,       28-KM, Stone,Nashik-Igatpuri Road, Vill-Mundegaon, Taluka-Igatpuri, Dist- Nashik-422 403                                 </t>
    </r>
    <r>
      <rPr>
        <b/>
        <sz val="48"/>
        <rFont val="Arial"/>
        <family val="2"/>
      </rPr>
      <t>Consumer No.</t>
    </r>
  </si>
  <si>
    <r>
      <t xml:space="preserve">Jindal Saw Limited,                                                                                          A-59-60, MIDC Malegaon Taluka Sinnar, Nashik- 422 113                                       </t>
    </r>
    <r>
      <rPr>
        <b/>
        <sz val="48"/>
        <rFont val="Arial"/>
        <family val="2"/>
      </rPr>
      <t>Unit-II Consumer No:</t>
    </r>
  </si>
  <si>
    <r>
      <t xml:space="preserve">Jindal Saw Limited,                                                                              A-59-60, MIDC Malegaon Taluka Sinnar, Nashik- 422 113                                            </t>
    </r>
    <r>
      <rPr>
        <b/>
        <sz val="48"/>
        <rFont val="Arial"/>
        <family val="2"/>
      </rPr>
      <t>Consumer No:</t>
    </r>
  </si>
  <si>
    <r>
      <t xml:space="preserve">JSW Cement Ltd.                                             Village Khar Karavi, Tal Pen ,Dist.Raigad-402107.                                   </t>
    </r>
    <r>
      <rPr>
        <b/>
        <sz val="48"/>
        <rFont val="Arial"/>
        <family val="2"/>
      </rPr>
      <t>Consumer No:</t>
    </r>
  </si>
  <si>
    <r>
      <t xml:space="preserve">JSW Steel Coated Products Ltd </t>
    </r>
    <r>
      <rPr>
        <i/>
        <sz val="48"/>
        <rFont val="Arial"/>
        <family val="2"/>
      </rPr>
      <t>(Earlier known as JSW ISPAT Steel Ltd)</t>
    </r>
    <r>
      <rPr>
        <sz val="48"/>
        <rFont val="Arial"/>
        <family val="2"/>
      </rPr>
      <t xml:space="preserve">. A-10/1, MIDC Industrial Area, Kalmeshwar,   Dist: Nagpur – 441 501                                           </t>
    </r>
    <r>
      <rPr>
        <b/>
        <sz val="48"/>
        <rFont val="Arial"/>
        <family val="2"/>
      </rPr>
      <t>Consumer No:</t>
    </r>
  </si>
  <si>
    <r>
      <t xml:space="preserve">JSW STEEL COATED PRODUCTS LTD            BOMBAY AGRA HIGHWAY NO3 VILL.VASHIND TAL-SHAHAPUR WASHIND-421604.                   </t>
    </r>
    <r>
      <rPr>
        <b/>
        <sz val="48"/>
        <rFont val="Arial"/>
        <family val="2"/>
      </rPr>
      <t xml:space="preserve">Consumer No:
</t>
    </r>
  </si>
  <si>
    <t xml:space="preserve">015519010981
</t>
  </si>
  <si>
    <t xml:space="preserve">JSW Steel Ltd. Geetapuram, Dolvi, Tal: Pen, Dist: Raigad- 402 107            </t>
  </si>
  <si>
    <r>
      <t xml:space="preserve">Juhu Beach Resort
Nera J.W. Marriott Hotel, Juhu Tara Road, Next to old Centour, Mumbai-400049           </t>
    </r>
    <r>
      <rPr>
        <b/>
        <sz val="48"/>
        <rFont val="Arial"/>
        <family val="2"/>
      </rPr>
      <t/>
    </r>
  </si>
  <si>
    <r>
      <t xml:space="preserve">K. S. L. &amp; INDUSTRIES LTD             AT THE PREMISES OF DECCAN CO. OP. SPINNING MILL, STATION ROAD, ICHALKARANJI-416117.                        </t>
    </r>
    <r>
      <rPr>
        <b/>
        <sz val="48"/>
        <rFont val="Arial"/>
        <family val="2"/>
      </rPr>
      <t xml:space="preserve">Consumer No:
</t>
    </r>
  </si>
  <si>
    <r>
      <t xml:space="preserve">KALYANI LEMMERZ LIMITED             Gat No 635, Kuruli Village,Chakan, Tal Khed, Chakan-410501.
</t>
    </r>
    <r>
      <rPr>
        <b/>
        <sz val="48"/>
        <rFont val="Arial"/>
        <family val="2"/>
      </rPr>
      <t xml:space="preserve">Consumer No:
</t>
    </r>
  </si>
  <si>
    <t xml:space="preserve">176029003638
</t>
  </si>
  <si>
    <r>
      <t xml:space="preserve">KALYANI TECHNOFORGE LIMITED           PRIVATE LIMITED                                     S NO 72-76 MUNDHAWA PUNE MUNDHAWA-411036
</t>
    </r>
    <r>
      <rPr>
        <b/>
        <sz val="48"/>
        <rFont val="Arial"/>
        <family val="2"/>
      </rPr>
      <t xml:space="preserve">Consumer No:
</t>
    </r>
  </si>
  <si>
    <r>
      <t xml:space="preserve">KALYANI TECHNOFORGE LTD.             G.NO.E-84, MIDC RANJANGAON TAL. SHIRUR, DIST. PUNE RANJANGAON-412220                         </t>
    </r>
    <r>
      <rPr>
        <b/>
        <sz val="48"/>
        <rFont val="Arial"/>
        <family val="2"/>
      </rPr>
      <t xml:space="preserve">Consumer No:
</t>
    </r>
  </si>
  <si>
    <r>
      <t xml:space="preserve">KAMANI OIL INDUSTRIES PVT.LTD             AT SR.NO. 6/1, 20/2, VILLAGE - HONAD, TAL - KHALAPUR, DIST - RAIGAD.-410203.             </t>
    </r>
    <r>
      <rPr>
        <b/>
        <sz val="48"/>
        <rFont val="Arial"/>
        <family val="2"/>
      </rPr>
      <t xml:space="preserve">Consumer No
</t>
    </r>
  </si>
  <si>
    <t>:031009022660</t>
  </si>
  <si>
    <t>:330249052450</t>
  </si>
  <si>
    <r>
      <t xml:space="preserve">KIRLOSKAR FERROUS INDUSTRIES LTD                                                        GAT NO 18/1(B) , MAJAREWADI SOLAPUR SOLAPUR-413 224.                         </t>
    </r>
    <r>
      <rPr>
        <b/>
        <sz val="48"/>
        <rFont val="Arial"/>
        <family val="2"/>
      </rPr>
      <t xml:space="preserve">
</t>
    </r>
  </si>
  <si>
    <t xml:space="preserve">Kisan Moulding Ltd, "Tex Center", K-Wing, 3rd Floor, 26 'A' Chandivali Road, Off Saki Vihar Road, Andheri (East), Mumbai - 400 072                        </t>
  </si>
  <si>
    <r>
      <t xml:space="preserve">KORES (INDIA) LTD                PEFCO   FOUNDRY   DIVISION E-14,15&amp;16  BHOSARI INDUSTRIAL AREA PUNE 411026(INDIA)
</t>
    </r>
    <r>
      <rPr>
        <b/>
        <sz val="48"/>
        <rFont val="Arial"/>
        <family val="2"/>
      </rPr>
      <t xml:space="preserve">Consumer No:
</t>
    </r>
  </si>
  <si>
    <r>
      <t xml:space="preserve">Kores (India) Ltd,                Gat no.149,Chakan-Talegaon road,Chakan,Pune-411501.  </t>
    </r>
    <r>
      <rPr>
        <b/>
        <sz val="48"/>
        <rFont val="Arial"/>
        <family val="2"/>
      </rPr>
      <t>Consumer No:</t>
    </r>
  </si>
  <si>
    <r>
      <t xml:space="preserve">Krishna Verla Magaswargiya Sahakari Soot Girni Ltd.                    Palus,Tal-Palus,Dist-Sangali-416310.                                           </t>
    </r>
    <r>
      <rPr>
        <b/>
        <sz val="48"/>
        <rFont val="Arial"/>
        <family val="2"/>
      </rPr>
      <t>Consumer No:</t>
    </r>
  </si>
  <si>
    <r>
      <t xml:space="preserve">KSL &amp; INDUSTRIES UNIT II          AT BRAMHNI FATA KATOL ROAD TQ.   KALMESHWAR DIST.  NAGPUR-441501.                      </t>
    </r>
    <r>
      <rPr>
        <b/>
        <sz val="48"/>
        <rFont val="Arial"/>
        <family val="2"/>
      </rPr>
      <t xml:space="preserve">Consumer No:
</t>
    </r>
  </si>
  <si>
    <t>:41019022990</t>
  </si>
  <si>
    <t xml:space="preserve">Laxmi Organics Industries Ltd.                                                           Unit- II at B-2/2, B-3/1/1, MIDC Mahad, Dist-Raigad - 402 309                 </t>
  </si>
  <si>
    <r>
      <t xml:space="preserve">Linde India Ltd.                   Plot no.1-8,MIDC Industrial Area, Taloja, Dist.Raigad, Navi Mumbai 410208       </t>
    </r>
    <r>
      <rPr>
        <b/>
        <sz val="48"/>
        <rFont val="Arial"/>
        <family val="2"/>
      </rPr>
      <t xml:space="preserve">  </t>
    </r>
  </si>
  <si>
    <r>
      <t xml:space="preserve">LLOYDS METALS AND ENERGY LTD.                 M.I.D.C. GHUGUS DIST CHANDRAPUR GHUGUS-442505.                                                                </t>
    </r>
    <r>
      <rPr>
        <b/>
        <sz val="48"/>
        <rFont val="Arial"/>
        <family val="2"/>
      </rPr>
      <t>Consumer No:</t>
    </r>
  </si>
  <si>
    <t xml:space="preserve">450019002085
</t>
  </si>
  <si>
    <r>
      <t xml:space="preserve">Lona Industries Ltd.,            Ladivali,Next to H.O.C.Ltd,Post-Gulsunde,tal-Panvel,Dist-Raigad-410207.                    </t>
    </r>
    <r>
      <rPr>
        <b/>
        <sz val="48"/>
        <rFont val="Arial"/>
        <family val="2"/>
      </rPr>
      <t>Consumer No:</t>
    </r>
  </si>
  <si>
    <t>028989002505..</t>
  </si>
  <si>
    <r>
      <t xml:space="preserve">Lupin Chemicals Ltd.,                             T-142, MIDC Industrial Area, Tarapur, Via Boisar, District Thane – 401506     </t>
    </r>
    <r>
      <rPr>
        <b/>
        <sz val="48"/>
        <rFont val="Arial"/>
        <family val="2"/>
      </rPr>
      <t>Consumer No:</t>
    </r>
  </si>
  <si>
    <r>
      <t xml:space="preserve">Lupin Ltd,                         A-28/1,MIDC-Chikhalthana,Aurangabad-431210.               </t>
    </r>
    <r>
      <rPr>
        <b/>
        <sz val="48"/>
        <rFont val="Arial"/>
        <family val="2"/>
      </rPr>
      <t>Consumer No:</t>
    </r>
  </si>
  <si>
    <r>
      <t xml:space="preserve">Magneti Marelli Motherson Auto System Pvt. Ltd.          Gat no.148-150,Village-Ambethan,Taluka-Khed,Pune-410501.            </t>
    </r>
    <r>
      <rPr>
        <b/>
        <sz val="48"/>
        <rFont val="Arial"/>
        <family val="2"/>
      </rPr>
      <t>Consumer No:</t>
    </r>
  </si>
  <si>
    <r>
      <t xml:space="preserve">Mahabal Metal Pvt Ltd.         Plot No.23,Miraj,Block MIDC,Miraj-416410.             </t>
    </r>
    <r>
      <rPr>
        <b/>
        <sz val="48"/>
        <rFont val="Arial"/>
        <family val="2"/>
      </rPr>
      <t>Consumer No:</t>
    </r>
  </si>
  <si>
    <r>
      <t xml:space="preserve">Mahalaxmi TMT Pvt Ltd ,                                                          Plot No.C-2 Deoli ,MIDC Deoli Growth Centre, Village- Deoli, Dist- Wardha-442 101 (Mh.) India                                         </t>
    </r>
    <r>
      <rPr>
        <b/>
        <sz val="48"/>
        <rFont val="Arial"/>
        <family val="2"/>
      </rPr>
      <t>Consumer No:</t>
    </r>
  </si>
  <si>
    <r>
      <t>Mahatma Phule Magaswargiya Sahakari Soot Girni ltd.PethVadgaon, P.B. Road,Wathar,Tal-Hatkanangale,Dist:Kolhapur-416 112.</t>
    </r>
    <r>
      <rPr>
        <b/>
        <sz val="48"/>
        <rFont val="Arial"/>
        <family val="2"/>
      </rPr>
      <t>Consumer No:</t>
    </r>
  </si>
  <si>
    <t>TPC_D</t>
  </si>
  <si>
    <r>
      <t xml:space="preserve">Mahindra &amp; Mahindra Ltd
Automotive Sector, Akruli Road, Kandivali-East, Mumbai - 400101    </t>
    </r>
    <r>
      <rPr>
        <b/>
        <i/>
        <sz val="48"/>
        <rFont val="Arial"/>
        <family val="2"/>
      </rPr>
      <t xml:space="preserve">                    </t>
    </r>
  </si>
  <si>
    <r>
      <t xml:space="preserve">Mahindra &amp; Mahindra Ltd
Farm Equipment Sector,MIDC,Area,Hingna Road,Nagpur-440016.          </t>
    </r>
    <r>
      <rPr>
        <b/>
        <sz val="48"/>
        <rFont val="Arial"/>
        <family val="2"/>
      </rPr>
      <t>Consumer No:</t>
    </r>
  </si>
  <si>
    <r>
      <t xml:space="preserve">Mahindra &amp; Mahindra Ltd.
Igatpuri Plant, Mouje Talegaon, Igatpuri Dist-Nashik-422403. </t>
    </r>
    <r>
      <rPr>
        <b/>
        <sz val="48"/>
        <rFont val="Arial"/>
        <family val="2"/>
      </rPr>
      <t>Consumer No:</t>
    </r>
  </si>
  <si>
    <r>
      <t xml:space="preserve">Mahindra CIE Automotive Ltd. (Formerly known as Mahindra Hinoday Industries Limited )            G.No.318,Urse Gaon,Tal.Maval,Dist. Pune-410501                                        </t>
    </r>
    <r>
      <rPr>
        <b/>
        <sz val="48"/>
        <rFont val="Arial"/>
        <family val="2"/>
      </rPr>
      <t xml:space="preserve">Consumer No: </t>
    </r>
  </si>
  <si>
    <r>
      <t xml:space="preserve">Mahindra Forgings Limited,                                                    557-860,Chakan Ambethan Road,Tal.Khed.Dist.Pune-410 501                                           </t>
    </r>
    <r>
      <rPr>
        <b/>
        <sz val="48"/>
        <rFont val="Arial"/>
        <family val="2"/>
      </rPr>
      <t>Consumer No:</t>
    </r>
  </si>
  <si>
    <r>
      <t xml:space="preserve">MAHINDRA HINODAY INDUSTRIES LTD                                              BHOSARI INDUSTRIES ESTATE BHOSARI,Near BSNL office, PUNE-411026.                                         </t>
    </r>
    <r>
      <rPr>
        <b/>
        <sz val="48"/>
        <rFont val="Arial"/>
        <family val="2"/>
      </rPr>
      <t xml:space="preserve">Consumer No:
</t>
    </r>
  </si>
  <si>
    <r>
      <t xml:space="preserve">MAHINDRA MAHINDRA LTD
FES Tractor Division, Akruli Road, Kandivali-East, Mumbai - 400101.               </t>
    </r>
    <r>
      <rPr>
        <b/>
        <sz val="48"/>
        <rFont val="Arial"/>
        <family val="2"/>
      </rPr>
      <t xml:space="preserve">AEML Consumer No:        </t>
    </r>
    <r>
      <rPr>
        <sz val="48"/>
        <rFont val="Arial"/>
        <family val="2"/>
      </rPr>
      <t xml:space="preserve">                  </t>
    </r>
    <r>
      <rPr>
        <b/>
        <sz val="48"/>
        <rFont val="Arial"/>
        <family val="2"/>
      </rPr>
      <t xml:space="preserve">
</t>
    </r>
  </si>
  <si>
    <r>
      <t xml:space="preserve">Mahindra Sanyo Special Steel Pvt Ltd. Jagdish Nagar, Khopoli- 410 216 (Former Steel Division of MUSCO)             </t>
    </r>
    <r>
      <rPr>
        <b/>
        <sz val="48"/>
        <rFont val="Arial"/>
        <family val="2"/>
      </rPr>
      <t>Consumer No:</t>
    </r>
  </si>
  <si>
    <r>
      <t xml:space="preserve">Mahindra Vehicle Manufacturers Limited,                                                      Plot no. A-1, Phase-IV, Chakan MIDC, Taluka-Khed, District-Pune 410501 </t>
    </r>
    <r>
      <rPr>
        <b/>
        <sz val="48"/>
        <rFont val="Arial"/>
        <family val="2"/>
      </rPr>
      <t xml:space="preserve">Consumer No: </t>
    </r>
  </si>
  <si>
    <r>
      <t xml:space="preserve">Mandke Foundation
Kokilaben Dhirubhai Ambani Hospital &amp; Research Centre, Four Bunglows,R.A.Patwardhan Marg,Andheri(W), Mumbai-400053                                         </t>
    </r>
    <r>
      <rPr>
        <b/>
        <sz val="48"/>
        <rFont val="Arial"/>
        <family val="2"/>
      </rPr>
      <t>AEML Consumer No:</t>
    </r>
  </si>
  <si>
    <r>
      <t xml:space="preserve">Mangrull Mills Ltd,                                             Behind Saraf Chambers, Mount Road, Sadar, Nagpur - 440 001                                          </t>
    </r>
    <r>
      <rPr>
        <b/>
        <sz val="48"/>
        <rFont val="Arial"/>
        <family val="2"/>
      </rPr>
      <t>Consumer No:</t>
    </r>
  </si>
  <si>
    <r>
      <t xml:space="preserve">Meenakshi Ferro Ingots Pvt.Ltd.                              Gat No.350/361,Bhandgaon,Khor Road,Yawat,Tal.Daund Dist.Pune-412214.                                           </t>
    </r>
    <r>
      <rPr>
        <b/>
        <sz val="48"/>
        <rFont val="Arial"/>
        <family val="2"/>
      </rPr>
      <t>Consumer No:</t>
    </r>
  </si>
  <si>
    <r>
      <t xml:space="preserve">Megafine Pharma (P) Ltd,    Gat No. 51-201,Tal-Dindori,Lakhamapur,Dist-Nashik-422202.                                </t>
    </r>
    <r>
      <rPr>
        <b/>
        <sz val="48"/>
        <rFont val="Arial"/>
        <family val="2"/>
      </rPr>
      <t xml:space="preserve">Consumer No: </t>
    </r>
    <r>
      <rPr>
        <sz val="48"/>
        <rFont val="Arial"/>
        <family val="2"/>
      </rPr>
      <t xml:space="preserve">                            </t>
    </r>
  </si>
  <si>
    <r>
      <t xml:space="preserve">Mumbai International Airport limited (MIAL),
TERMINAL 1C SANTACRUZ AIRPORT,CSI AIRPORT SAHAR,Mumbai-400099.                      </t>
    </r>
    <r>
      <rPr>
        <b/>
        <sz val="48"/>
        <rFont val="Arial"/>
        <family val="2"/>
      </rPr>
      <t xml:space="preserve">TPC-D Consumer No:      </t>
    </r>
    <r>
      <rPr>
        <b/>
        <sz val="48"/>
        <rFont val="Arial"/>
        <family val="2"/>
      </rPr>
      <t xml:space="preserve">
</t>
    </r>
  </si>
  <si>
    <r>
      <t xml:space="preserve">Mumbai International Airport limited (MIAL),
TERMINAL 2 HVAC 1 SAHAR AIRPORT,CSI AIRPORT SAHAR,Mumbai-400099.                         </t>
    </r>
    <r>
      <rPr>
        <b/>
        <sz val="48"/>
        <rFont val="Arial"/>
        <family val="2"/>
      </rPr>
      <t xml:space="preserve">TPC-D Consumer No:           </t>
    </r>
    <r>
      <rPr>
        <sz val="48"/>
        <rFont val="Arial"/>
        <family val="2"/>
      </rPr>
      <t xml:space="preserve">                  </t>
    </r>
    <r>
      <rPr>
        <b/>
        <sz val="48"/>
        <rFont val="Arial"/>
        <family val="2"/>
      </rPr>
      <t xml:space="preserve">
</t>
    </r>
  </si>
  <si>
    <r>
      <t xml:space="preserve">Mumbai International Airport limited (MIAL),
TERMINAL 2 PHASE 1 SAHAR AIRPORT,CSI AIRPORT SAHAR,Mumbai-400099.                       </t>
    </r>
    <r>
      <rPr>
        <b/>
        <sz val="48"/>
        <rFont val="Arial"/>
        <family val="2"/>
      </rPr>
      <t xml:space="preserve">TPC-D Consumer No:      </t>
    </r>
    <r>
      <rPr>
        <b/>
        <sz val="48"/>
        <rFont val="Arial"/>
        <family val="2"/>
      </rPr>
      <t xml:space="preserve">
</t>
    </r>
  </si>
  <si>
    <r>
      <t xml:space="preserve">Mumbai International Airport limited (MIAL),
TERMINAL 2 PHASE 2 SAHAR AIRPORT,CSI AIRPORT SAHAR,Mumbai-400099.                         </t>
    </r>
    <r>
      <rPr>
        <b/>
        <sz val="48"/>
        <rFont val="Arial"/>
        <family val="2"/>
      </rPr>
      <t xml:space="preserve">TPC-D Consumer No:       </t>
    </r>
    <r>
      <rPr>
        <sz val="48"/>
        <rFont val="Arial"/>
        <family val="2"/>
      </rPr>
      <t xml:space="preserve">                  </t>
    </r>
    <r>
      <rPr>
        <b/>
        <sz val="48"/>
        <rFont val="Arial"/>
        <family val="2"/>
      </rPr>
      <t xml:space="preserve">
</t>
    </r>
  </si>
  <si>
    <r>
      <t xml:space="preserve">Mumbai International Airport limited (MIAL),
TERMINAL 2 PHASE 3 SAHAR AIRPORT,CSI AIRPORT SAHAR,Mumbai-400099.                         </t>
    </r>
    <r>
      <rPr>
        <b/>
        <sz val="48"/>
        <rFont val="Arial"/>
        <family val="2"/>
      </rPr>
      <t xml:space="preserve">TPC-D Consumer No:            </t>
    </r>
    <r>
      <rPr>
        <sz val="48"/>
        <rFont val="Arial"/>
        <family val="2"/>
      </rPr>
      <t xml:space="preserve">                  </t>
    </r>
    <r>
      <rPr>
        <b/>
        <sz val="48"/>
        <rFont val="Arial"/>
        <family val="2"/>
      </rPr>
      <t xml:space="preserve">
</t>
    </r>
  </si>
  <si>
    <r>
      <t xml:space="preserve">Mumbai International Airport limited (MIAL),
TERMINAL 2 PHASE 4 SAHAR AIRPORT,CSI AIRPORT SAHAR,Mumbai-400099.                         </t>
    </r>
    <r>
      <rPr>
        <b/>
        <sz val="48"/>
        <rFont val="Arial"/>
        <family val="2"/>
      </rPr>
      <t xml:space="preserve">TPC-D Consumer No:             </t>
    </r>
    <r>
      <rPr>
        <sz val="48"/>
        <rFont val="Arial"/>
        <family val="2"/>
      </rPr>
      <t xml:space="preserve">                  </t>
    </r>
    <r>
      <rPr>
        <b/>
        <sz val="48"/>
        <rFont val="Arial"/>
        <family val="2"/>
      </rPr>
      <t xml:space="preserve">
</t>
    </r>
  </si>
  <si>
    <r>
      <t xml:space="preserve">Mutha Founders Pvt Ltd.      L-7 Addl.MIDC,P.O.,Kodoli, Satara-415004.                          </t>
    </r>
    <r>
      <rPr>
        <b/>
        <sz val="48"/>
        <rFont val="Arial"/>
        <family val="2"/>
      </rPr>
      <t>Consumer No:</t>
    </r>
  </si>
  <si>
    <r>
      <t xml:space="preserve">Mutha Spherocast (I) Pvt Ltd.                                 K-1,Additional MIDc,Degaon road,P.O.,Kodoli, Satara-415004.                          </t>
    </r>
    <r>
      <rPr>
        <b/>
        <sz val="48"/>
        <rFont val="Arial"/>
        <family val="2"/>
      </rPr>
      <t>Consumer No:</t>
    </r>
  </si>
  <si>
    <r>
      <t xml:space="preserve">NAGPUR ZILLA KAPAS UTPADAK SAHKARI SUTGIRNI LT           PATANSAWANGI TAL SAONER DIST NAGPUR-440018
</t>
    </r>
    <r>
      <rPr>
        <b/>
        <sz val="48"/>
        <rFont val="Arial"/>
        <family val="2"/>
      </rPr>
      <t xml:space="preserve">Consumer No:
</t>
    </r>
  </si>
  <si>
    <r>
      <t xml:space="preserve">Nagreeka Export Ltd,                      Village-Yavaluj,Tal-Panhala,Dist-Kolhapur-416205.                                </t>
    </r>
    <r>
      <rPr>
        <b/>
        <sz val="48"/>
        <rFont val="Arial"/>
        <family val="2"/>
      </rPr>
      <t>Consumer No:</t>
    </r>
  </si>
  <si>
    <r>
      <t xml:space="preserve">Naman Hotels
 SOFITEL HOTEL,C-57 &amp; 58,G-BLOCK BKC, NEAR DHIRUBHAI AMBANI INTERNATIONAL SCH Bandra (E),Mumbai-400051                               </t>
    </r>
    <r>
      <rPr>
        <b/>
        <sz val="48"/>
        <rFont val="Arial"/>
        <family val="2"/>
      </rPr>
      <t xml:space="preserve">TPC-D Consumer No:     </t>
    </r>
    <r>
      <rPr>
        <b/>
        <sz val="48"/>
        <rFont val="Arial"/>
        <family val="2"/>
      </rPr>
      <t xml:space="preserve">
</t>
    </r>
  </si>
  <si>
    <r>
      <t xml:space="preserve">NAMCO Industries Pvt Ltd,  Survey No.140-144,Village-Horale,Post-Wawoshi,Tal-Khalapur,Dist:Raigad-410203.                   </t>
    </r>
    <r>
      <rPr>
        <b/>
        <sz val="48"/>
        <rFont val="Arial"/>
        <family val="2"/>
      </rPr>
      <t>Consumer No:</t>
    </r>
  </si>
  <si>
    <r>
      <t xml:space="preserve">NetMagic Solutions Pvt Ltd
MEHRA INDUSTRIAL ESTATE,GRND TO 2ND FLR,OPP UNION BANK,L B S MARG, VIKHROLI WEST.                     </t>
    </r>
    <r>
      <rPr>
        <b/>
        <sz val="48"/>
        <rFont val="Arial"/>
        <family val="2"/>
      </rPr>
      <t xml:space="preserve">
</t>
    </r>
  </si>
  <si>
    <r>
      <t xml:space="preserve">NITCO Limited   Village. Shirgaon, Tal. Alibag, Dist. Raigad410 208.                               </t>
    </r>
    <r>
      <rPr>
        <b/>
        <sz val="48"/>
        <rFont val="Arial"/>
        <family val="2"/>
      </rPr>
      <t>Consumer No:</t>
    </r>
  </si>
  <si>
    <r>
      <t xml:space="preserve">NOCIL Limited
C-37,TTC Industrial Area,Post-Turbhe,Off Thane-Belapur Road,Pawne Village,Navi Mumbai-400705.                                       </t>
    </r>
    <r>
      <rPr>
        <b/>
        <sz val="48"/>
        <rFont val="Arial"/>
        <family val="2"/>
      </rPr>
      <t>Consumer No:</t>
    </r>
  </si>
  <si>
    <r>
      <t xml:space="preserve">OBEROI MALL LTD
OBEROI GARDEN CITY,OPP WESTERN EXPRESS HIGHWAY,GOREGAON EAST,MUMBAI - 400063                </t>
    </r>
    <r>
      <rPr>
        <b/>
        <sz val="48"/>
        <rFont val="Arial"/>
        <family val="2"/>
      </rPr>
      <t xml:space="preserve">AEML Consumer No:             </t>
    </r>
    <r>
      <rPr>
        <sz val="48"/>
        <rFont val="Arial"/>
        <family val="2"/>
      </rPr>
      <t xml:space="preserve">                  </t>
    </r>
    <r>
      <rPr>
        <b/>
        <sz val="48"/>
        <rFont val="Arial"/>
        <family val="2"/>
      </rPr>
      <t xml:space="preserve">
</t>
    </r>
  </si>
  <si>
    <r>
      <t xml:space="preserve">OMYA  INDIA  PVT.  LTD.
PLOT NO.  T-18, MIDC, TALOJA , TAH: PANVEL, DIST. RAIGAD TALOJA-410208.
 </t>
    </r>
    <r>
      <rPr>
        <b/>
        <sz val="48"/>
        <rFont val="Arial"/>
        <family val="2"/>
      </rPr>
      <t xml:space="preserve">Consumer No:
</t>
    </r>
  </si>
  <si>
    <t xml:space="preserve">028619031060
</t>
  </si>
  <si>
    <r>
      <t xml:space="preserve">Orient Cement Ltd.,                                                                            N. H. no. 06 Near Nashirabad Village, Jalgaon-425309.                     </t>
    </r>
    <r>
      <rPr>
        <b/>
        <sz val="48"/>
        <rFont val="Arial"/>
        <family val="2"/>
      </rPr>
      <t>Consumer No:</t>
    </r>
    <r>
      <rPr>
        <sz val="48"/>
        <rFont val="Arial"/>
        <family val="2"/>
      </rPr>
      <t xml:space="preserve"> </t>
    </r>
  </si>
  <si>
    <r>
      <t xml:space="preserve">Owens Corning Pvt. Ltd.,                                   Plot No. T-28, MIDC Phase-2, Taloja, Dist- Raigad-410 208.                    MSEDCL </t>
    </r>
    <r>
      <rPr>
        <b/>
        <sz val="48"/>
        <rFont val="Arial"/>
        <family val="2"/>
      </rPr>
      <t>Consumer No:</t>
    </r>
  </si>
  <si>
    <r>
      <t xml:space="preserve">Parag Milk Foods Pvt. Ltd,                  Aawasari Phata Manchar, Taluka Ambegaon, Pune, Maharashtra 410503                          </t>
    </r>
    <r>
      <rPr>
        <b/>
        <sz val="48"/>
        <rFont val="Arial"/>
        <family val="2"/>
      </rPr>
      <t>Consumer No:</t>
    </r>
  </si>
  <si>
    <r>
      <t xml:space="preserve">Pee Vee Textiles Ltd,N. H. No. 7, JAM-4420305
SAMUDRAPUR, MAHARASHTRA </t>
    </r>
    <r>
      <rPr>
        <b/>
        <sz val="48"/>
        <rFont val="Arial"/>
        <family val="2"/>
      </rPr>
      <t xml:space="preserve">Unit-1 </t>
    </r>
    <r>
      <rPr>
        <sz val="48"/>
        <rFont val="Arial"/>
        <family val="2"/>
      </rPr>
      <t xml:space="preserve">       </t>
    </r>
    <r>
      <rPr>
        <b/>
        <sz val="48"/>
        <rFont val="Arial"/>
        <family val="2"/>
      </rPr>
      <t>Consumer No:</t>
    </r>
  </si>
  <si>
    <r>
      <t xml:space="preserve">Pee Vee Textiles Ltd,N. H. No. 7, JAM-4420305
SAMUDRAPUR, MAHARASHTRA </t>
    </r>
    <r>
      <rPr>
        <b/>
        <sz val="48"/>
        <rFont val="Arial"/>
        <family val="2"/>
      </rPr>
      <t>Unit-2</t>
    </r>
    <r>
      <rPr>
        <sz val="48"/>
        <rFont val="Arial"/>
        <family val="2"/>
      </rPr>
      <t xml:space="preserve">       </t>
    </r>
    <r>
      <rPr>
        <b/>
        <sz val="48"/>
        <rFont val="Arial"/>
        <family val="2"/>
      </rPr>
      <t>Consumer No:</t>
    </r>
  </si>
  <si>
    <r>
      <t xml:space="preserve">Pee Vee Textiles Ltd,N. H. No. 7, JAM-4420305
SAMUDRAPUR, MAHARASHTRA </t>
    </r>
    <r>
      <rPr>
        <b/>
        <sz val="48"/>
        <rFont val="Arial"/>
        <family val="2"/>
      </rPr>
      <t>Unit-3</t>
    </r>
    <r>
      <rPr>
        <sz val="48"/>
        <rFont val="Arial"/>
        <family val="2"/>
      </rPr>
      <t xml:space="preserve">       </t>
    </r>
    <r>
      <rPr>
        <b/>
        <sz val="48"/>
        <rFont val="Arial"/>
        <family val="2"/>
      </rPr>
      <t>Consumer No</t>
    </r>
  </si>
  <si>
    <r>
      <t xml:space="preserve">PEPSICO HOLDING PVT LTD                                              Plot No D17, MIDC Area, Paithan, Aurangabad HO, Aurangabad-Maharashtra - 431001.                             </t>
    </r>
    <r>
      <rPr>
        <b/>
        <sz val="48"/>
        <rFont val="Arial"/>
        <family val="2"/>
      </rPr>
      <t>Consumer No:</t>
    </r>
  </si>
  <si>
    <r>
      <t xml:space="preserve">Pepsico India Holdings,                                                                    Plot No. C-5, MIDC Ranjan Gao, Tal- Shirur, Dist- Pune 412220.                                        </t>
    </r>
    <r>
      <rPr>
        <b/>
        <sz val="48"/>
        <rFont val="Arial"/>
        <family val="2"/>
      </rPr>
      <t>Consumer No:</t>
    </r>
  </si>
  <si>
    <t xml:space="preserve">Piaggio Vehicles Pvt Ltd,   E-2, MIDC Area, Baramati - 413 102.                                              </t>
  </si>
  <si>
    <r>
      <t xml:space="preserve">Polygenta Technologies Ltd, Gat no.265/1,266,Village Avankhed,Taluka-Dindori,Dist-Nashik-422202.                                  </t>
    </r>
    <r>
      <rPr>
        <b/>
        <sz val="48"/>
        <rFont val="Arial"/>
        <family val="2"/>
      </rPr>
      <t>Consumer No.</t>
    </r>
  </si>
  <si>
    <r>
      <t xml:space="preserve">POSCO Maharashtra Steel Pvt Limited,                                                       Plot No. C-1, Vile-Bhagad, MIDC Industrial Area, Tal- Mangaon, Dist.-Raigad, Maharashtra-402308                          </t>
    </r>
    <r>
      <rPr>
        <b/>
        <sz val="48"/>
        <rFont val="Arial"/>
        <family val="2"/>
      </rPr>
      <t>Consumer No:</t>
    </r>
  </si>
  <si>
    <r>
      <t xml:space="preserve">Pranavaditya Spinning Mills Ltd,                                    Village:Alte P.B. No.2,Hatakanangale,Kolhapur-416109.             </t>
    </r>
    <r>
      <rPr>
        <b/>
        <sz val="48"/>
        <rFont val="Arial"/>
        <family val="2"/>
      </rPr>
      <t>Consumer No</t>
    </r>
  </si>
  <si>
    <t>:250229305103.</t>
  </si>
  <si>
    <r>
      <t xml:space="preserve">Precision Camshaft Ltd. D-5, MIDC CHINCHOLI KATI, TAL. MOHOL, SOLAPUR-413 255.               </t>
    </r>
    <r>
      <rPr>
        <b/>
        <sz val="48"/>
        <rFont val="Arial"/>
        <family val="2"/>
      </rPr>
      <t>Consumer No:</t>
    </r>
  </si>
  <si>
    <r>
      <t xml:space="preserve">Precision Camshaft Ltd.      D-7, MIDC CHINCHOLI KATI, TAL. MOHOL, SOLAPUR-413 255.                            </t>
    </r>
    <r>
      <rPr>
        <b/>
        <sz val="48"/>
        <rFont val="Arial"/>
        <family val="2"/>
      </rPr>
      <t>Consumer No:</t>
    </r>
  </si>
  <si>
    <r>
      <t xml:space="preserve">Precision Camshaft Ltd. Unit-II, D-7, MIDC CHINCHOLI KATI, TAL. MOHOL, SOLAPUR-413 255.                           </t>
    </r>
    <r>
      <rPr>
        <b/>
        <sz val="48"/>
        <rFont val="Arial"/>
        <family val="2"/>
      </rPr>
      <t>Consumer No:</t>
    </r>
  </si>
  <si>
    <r>
      <t xml:space="preserve">Priyadarshani Sah.Soot Girni,Ltd.Shirpur.                 Tande,Chopda road,shirpur,Dist:Dhule-400001,                    </t>
    </r>
    <r>
      <rPr>
        <b/>
        <sz val="48"/>
        <rFont val="Arial"/>
        <family val="2"/>
      </rPr>
      <t xml:space="preserve">Unit-I </t>
    </r>
    <r>
      <rPr>
        <sz val="48"/>
        <rFont val="Arial"/>
        <family val="2"/>
      </rPr>
      <t xml:space="preserve">                                                       </t>
    </r>
    <r>
      <rPr>
        <b/>
        <sz val="48"/>
        <rFont val="Arial"/>
        <family val="2"/>
      </rPr>
      <t>Consumer No.-</t>
    </r>
  </si>
  <si>
    <r>
      <t xml:space="preserve">Priyadarshani Sah.Soot Girni,Ltd.Shirpur.                 Tande,Chopda road,shirpur,Dist:Dhule-400001,                   </t>
    </r>
    <r>
      <rPr>
        <b/>
        <sz val="48"/>
        <rFont val="Arial"/>
        <family val="2"/>
      </rPr>
      <t xml:space="preserve">Unit-II  </t>
    </r>
    <r>
      <rPr>
        <sz val="48"/>
        <rFont val="Arial"/>
        <family val="2"/>
      </rPr>
      <t xml:space="preserve">                            </t>
    </r>
    <r>
      <rPr>
        <b/>
        <sz val="48"/>
        <rFont val="Arial"/>
        <family val="2"/>
      </rPr>
      <t>Consumer No.</t>
    </r>
  </si>
  <si>
    <r>
      <t xml:space="preserve">PRIYADARSHANI SAHAKARI SOOT GIRNI LTD,                                          PLOT NO E-2 MIDC, LOHARA YAVATMAL-445001
 </t>
    </r>
    <r>
      <rPr>
        <b/>
        <sz val="48"/>
        <rFont val="Arial"/>
        <family val="2"/>
      </rPr>
      <t xml:space="preserve">Consumer No:
</t>
    </r>
  </si>
  <si>
    <r>
      <t xml:space="preserve">PUDUMJEE  INDUSTRIES    LTD         S.NO. 25/26   THERGAON CHINCHWAD   PUNE   411033.
</t>
    </r>
    <r>
      <rPr>
        <b/>
        <sz val="48"/>
        <rFont val="Arial"/>
        <family val="2"/>
      </rPr>
      <t xml:space="preserve">Consumer No:
</t>
    </r>
  </si>
  <si>
    <r>
      <t xml:space="preserve">Pudumjee Pulp &amp; Paper Mills Ltd.                                            Thergaon, Chinchwad, Pune-411 033                                              </t>
    </r>
    <r>
      <rPr>
        <b/>
        <sz val="48"/>
        <rFont val="Arial"/>
        <family val="2"/>
      </rPr>
      <t>Consumer No:</t>
    </r>
  </si>
  <si>
    <r>
      <t xml:space="preserve">PULGAON COTTON MILLS         NEAR RAILWAY STATION PULGAON MH 442302 
 </t>
    </r>
    <r>
      <rPr>
        <b/>
        <sz val="48"/>
        <rFont val="Arial"/>
        <family val="2"/>
      </rPr>
      <t xml:space="preserve">Consumer No:
</t>
    </r>
  </si>
  <si>
    <r>
      <t xml:space="preserve">R L STEELS &amp; ENERGY LTD. GUT NO. 78-81, PANGRA SHIVAR, PAITHAN ROAD, CHITENGAON, Aurangabad - 431107                                                 </t>
    </r>
    <r>
      <rPr>
        <b/>
        <sz val="48"/>
        <rFont val="Arial"/>
        <family val="2"/>
      </rPr>
      <t>Consumer No:</t>
    </r>
  </si>
  <si>
    <r>
      <t xml:space="preserve">RAMSON INDUSTRIES LTD,          Shri Rajesh Sarda A - 301, Neeti Gaurav, Central Bazar Road, Ramdaspeth, Nagpur, Maharashtra 440010.
 </t>
    </r>
    <r>
      <rPr>
        <b/>
        <sz val="48"/>
        <rFont val="Arial"/>
        <family val="2"/>
      </rPr>
      <t xml:space="preserve">Consumer No:
</t>
    </r>
  </si>
  <si>
    <r>
      <t xml:space="preserve">RAMSONS CASTINGS PRIVATE LTD                                                 Plot No-3,4,8,9,10 MIDC area,Hingana Road,Nagpur,MH.-441110
</t>
    </r>
    <r>
      <rPr>
        <b/>
        <sz val="48"/>
        <rFont val="Arial"/>
        <family val="2"/>
      </rPr>
      <t xml:space="preserve">Consumer No:
</t>
    </r>
  </si>
  <si>
    <r>
      <t>Raymond Luxury Cottons  Limited                      Plot No.T-1,Kagal Hatkanagale Five Star Industrial area Kasba:Sangaon,Taluka-Kagal,Dist:Kolhapur-416236.</t>
    </r>
    <r>
      <rPr>
        <b/>
        <sz val="48"/>
        <rFont val="Arial"/>
        <family val="2"/>
      </rPr>
      <t>Consumer No:.</t>
    </r>
  </si>
  <si>
    <r>
      <t xml:space="preserve">Raymond UCO Denim Private  Limited                                                    Plot C-1, MIDC, Lohara, Dist-Yavatmal-445 001                                   </t>
    </r>
    <r>
      <rPr>
        <b/>
        <sz val="48"/>
        <rFont val="Arial"/>
        <family val="2"/>
      </rPr>
      <t>Consumer No:</t>
    </r>
  </si>
  <si>
    <r>
      <t xml:space="preserve">Rexam Beverage Can (India) Ltd. C-7, MIDC Taloja Industrial Area 
District Raigad, Taluka Panvel Raigad-410208                      </t>
    </r>
    <r>
      <rPr>
        <b/>
        <sz val="48"/>
        <rFont val="Arial"/>
        <family val="2"/>
      </rPr>
      <t xml:space="preserve"> Consumer No.</t>
    </r>
    <r>
      <rPr>
        <sz val="48"/>
        <rFont val="Arial"/>
        <family val="2"/>
      </rPr>
      <t xml:space="preserve"> </t>
    </r>
  </si>
  <si>
    <r>
      <t xml:space="preserve">Roha Dyechem Pvt. Ltd. Plot No 42 , MIDC , Dhatav, Tal.-Roha, Raigad-402116.                    </t>
    </r>
    <r>
      <rPr>
        <b/>
        <sz val="48"/>
        <rFont val="Arial"/>
        <family val="2"/>
      </rPr>
      <t>Consumer No:</t>
    </r>
  </si>
  <si>
    <r>
      <t xml:space="preserve">RPL URJA (Division of Rasoya Protiens Ltd),
Village Kalmana, Tal.Wani, 
Dist.Yavatmal.                               </t>
    </r>
    <r>
      <rPr>
        <b/>
        <sz val="48"/>
        <rFont val="Arial"/>
        <family val="2"/>
      </rPr>
      <t>Consumer No:</t>
    </r>
  </si>
  <si>
    <r>
      <t xml:space="preserve">SAARLOHA ADVANCED MATERIALS PVT.LTD (Formerly known as Kalyani Carpenter Special Steels Private Ltd.)               Mundhwa , Pune-411036               </t>
    </r>
    <r>
      <rPr>
        <b/>
        <sz val="44"/>
        <rFont val="Arial"/>
        <family val="2"/>
      </rPr>
      <t>MSEDCL</t>
    </r>
    <r>
      <rPr>
        <sz val="44"/>
        <rFont val="Arial"/>
        <family val="2"/>
      </rPr>
      <t xml:space="preserve"> </t>
    </r>
    <r>
      <rPr>
        <b/>
        <sz val="44"/>
        <rFont val="Arial"/>
        <family val="2"/>
      </rPr>
      <t>Consumer no.</t>
    </r>
  </si>
  <si>
    <r>
      <t xml:space="preserve">Sagreshwar Sahakari Soot Girni Ltd., Tal: Kadegaon, Dist: Sangli, Kadegaon-415304.                             </t>
    </r>
    <r>
      <rPr>
        <b/>
        <sz val="48"/>
        <rFont val="Arial"/>
        <family val="2"/>
      </rPr>
      <t>Consumer No:</t>
    </r>
  </si>
  <si>
    <r>
      <t xml:space="preserve">SANDOZ  PVT. LTD.
MIDC Plot No. 8-A/2, 8-B, T.T.C. Ind. Area, Kalwe Block, Village, Digha Naka, Navi Mumbai, Maharashtra 400708
 </t>
    </r>
    <r>
      <rPr>
        <b/>
        <sz val="48"/>
        <rFont val="Arial"/>
        <family val="2"/>
      </rPr>
      <t xml:space="preserve">Consumer No:
</t>
    </r>
  </si>
  <si>
    <r>
      <t>Sandoz Pvt Ltd,                                        PLOT NO.D31/32,TTc Industrial Area,Turbhe,Navi-Mumbai-400705..</t>
    </r>
    <r>
      <rPr>
        <b/>
        <sz val="48"/>
        <rFont val="Arial"/>
        <family val="2"/>
      </rPr>
      <t xml:space="preserve">                  Consumer No:</t>
    </r>
  </si>
  <si>
    <r>
      <t xml:space="preserve">Sandoz Pvt Ltd,                                        PLOT NO.L-1
 ADDITIONAL 
PHASE MIDC MAHAD, Raigad-402309.                              </t>
    </r>
    <r>
      <rPr>
        <b/>
        <sz val="48"/>
        <rFont val="Arial"/>
        <family val="2"/>
      </rPr>
      <t>Consumer No:</t>
    </r>
  </si>
  <si>
    <r>
      <t xml:space="preserve">Schreiber Dynamics Dairies Limited,                                                     DOOR NO. E-94, BHIGWAN ROAD, Baramati - 413133, Maharashtra.                          </t>
    </r>
    <r>
      <rPr>
        <b/>
        <sz val="48"/>
        <rFont val="Arial"/>
        <family val="2"/>
      </rPr>
      <t>Consumer No:</t>
    </r>
  </si>
  <si>
    <t xml:space="preserve">Serum Institute of India Ltd                                    212/2 off sili Poonawala Road,Hadpsar,Pune-411028.                   </t>
  </si>
  <si>
    <r>
      <t xml:space="preserve">Shetkari Mahila Sahakari Vastranirman Soot Girni Maryadit,Sangole,Dist:Solapur-413307.                                                    </t>
    </r>
    <r>
      <rPr>
        <b/>
        <sz val="48"/>
        <rFont val="Arial"/>
        <family val="2"/>
      </rPr>
      <t>Consumer No:</t>
    </r>
  </si>
  <si>
    <r>
      <t xml:space="preserve">Shetkari Sahakari  Soot Girni Maryadit,                     Sangole,Dist:Solapur-413307.                               </t>
    </r>
    <r>
      <rPr>
        <b/>
        <sz val="48"/>
        <rFont val="Arial"/>
        <family val="2"/>
      </rPr>
      <t>Consumer No:</t>
    </r>
  </si>
  <si>
    <r>
      <t xml:space="preserve">Shree Swami Samarth Shetkari Wa Vinkari Sahakari Soot Girni Ni.Valasang                                           A/P-Valsang Dist-Solapur-413228.                              </t>
    </r>
    <r>
      <rPr>
        <b/>
        <sz val="48"/>
        <rFont val="Arial"/>
        <family val="2"/>
      </rPr>
      <t>Consumer No:.</t>
    </r>
  </si>
  <si>
    <r>
      <t xml:space="preserve">SHRINIWAS ENGINEERING AUTOCOMP PVT.LTD,                 Survey No. 492, Near Talegaon MIDC,
Navlakh Umbre, Maval, Pune 410 507.
Maharashtra, INDIA.                             MSEDCL </t>
    </r>
    <r>
      <rPr>
        <b/>
        <sz val="48"/>
        <rFont val="Arial"/>
        <family val="2"/>
      </rPr>
      <t>Consumer no.</t>
    </r>
  </si>
  <si>
    <r>
      <t xml:space="preserve">Siemens Limited  Kalwa Works, Thane Belapur Road, Airoli, Navi Mumbai - 400 708  </t>
    </r>
    <r>
      <rPr>
        <b/>
        <sz val="48"/>
        <rFont val="Arial"/>
        <family val="2"/>
      </rPr>
      <t>Consumer No:</t>
    </r>
  </si>
  <si>
    <r>
      <t xml:space="preserve">SIFY TECHNOLOGIES LTD.                                    K-10, Kalwa Industrial Area, Airoli, Thane-Belapur Rd  Navi Mumbai 400708                                          MSEDCL </t>
    </r>
    <r>
      <rPr>
        <b/>
        <sz val="48"/>
        <rFont val="Arial"/>
        <family val="2"/>
      </rPr>
      <t>Consumer no.</t>
    </r>
  </si>
  <si>
    <r>
      <t xml:space="preserve">SKF Bearing India Limited,                          Pimpri - Chikhali Road, Near Chafekar Chowk, Chinchwad, Pune, Maharashtra 411033                                     </t>
    </r>
    <r>
      <rPr>
        <b/>
        <sz val="48"/>
        <rFont val="Arial"/>
        <family val="2"/>
      </rPr>
      <t>Consumer No:</t>
    </r>
  </si>
  <si>
    <r>
      <t xml:space="preserve">Sona Alloys Pvt. Ltd.,                           C-1, MIDC, Lonand,                         Dist Satara- 415 521  </t>
    </r>
    <r>
      <rPr>
        <b/>
        <sz val="48"/>
        <rFont val="Arial"/>
        <family val="2"/>
      </rPr>
      <t xml:space="preserve">Consumer No: </t>
    </r>
    <r>
      <rPr>
        <sz val="48"/>
        <rFont val="Arial"/>
        <family val="2"/>
      </rPr>
      <t xml:space="preserve">                               </t>
    </r>
  </si>
  <si>
    <r>
      <t xml:space="preserve">SOUTH ASIA TYRES LTD                      Goodyear South Asia Tyres Pvt. Ltd; H-18, MIDC Industrial Area; Waluj, Aurangabad – 431136.                              </t>
    </r>
    <r>
      <rPr>
        <b/>
        <sz val="48"/>
        <rFont val="Arial"/>
        <family val="2"/>
      </rPr>
      <t>Consumer No:</t>
    </r>
  </si>
  <si>
    <t>'490019004683</t>
  </si>
  <si>
    <r>
      <t xml:space="preserve">SPENTEX INDUSTRIES LTD                 D-48,M I D C BARAMATI TAL BARAMATI DIST PUNE BARAMATI-413133.                             </t>
    </r>
    <r>
      <rPr>
        <b/>
        <sz val="48"/>
        <rFont val="Arial"/>
        <family val="2"/>
      </rPr>
      <t xml:space="preserve">Consumer No:
</t>
    </r>
  </si>
  <si>
    <r>
      <t xml:space="preserve">SPENTEX INDUSTRIES LTD             P. NO.A-31 M I D C BUTIBORI D-Nagpur-441122.                      </t>
    </r>
    <r>
      <rPr>
        <b/>
        <sz val="48"/>
        <rFont val="Arial"/>
        <family val="2"/>
      </rPr>
      <t xml:space="preserve">Consumer No:
</t>
    </r>
  </si>
  <si>
    <r>
      <t xml:space="preserve">SPENTEX INDUSTRIES LTD ( UNIT B)               P.NO. D-48, MIDC BARAMATI TAL. BARAMATI, DIST. PUNE BARAMATI-413133.                    </t>
    </r>
    <r>
      <rPr>
        <b/>
        <sz val="48"/>
        <rFont val="Arial"/>
        <family val="2"/>
      </rPr>
      <t>Consumer No:</t>
    </r>
  </si>
  <si>
    <r>
      <t xml:space="preserve">STEEL AUTHORITY OF INDIA LTD FERROALLOY PLANT, Chandrapur Ferro Alloy Plant, Mul Road, Chandrapur - 442 401                    </t>
    </r>
    <r>
      <rPr>
        <b/>
        <sz val="48"/>
        <rFont val="Arial"/>
        <family val="2"/>
      </rPr>
      <t xml:space="preserve">Consumer No:
</t>
    </r>
  </si>
  <si>
    <r>
      <t xml:space="preserve">Sterlite Technologies Ltd. AL-23, Shendra MIDC SEZ, Aurangabad - 431201.                 </t>
    </r>
    <r>
      <rPr>
        <b/>
        <sz val="48"/>
        <color theme="1"/>
        <rFont val="Arial"/>
        <family val="2"/>
      </rPr>
      <t>Consumer No:490539042670</t>
    </r>
  </si>
  <si>
    <r>
      <t xml:space="preserve">Sudarshan Chemical Industries Limited, 46 MIDC Estate, Dhatav, Roha, Dist. Raigad-402 117                        </t>
    </r>
    <r>
      <rPr>
        <b/>
        <sz val="48"/>
        <rFont val="Arial"/>
        <family val="2"/>
      </rPr>
      <t>Consumer No:</t>
    </r>
  </si>
  <si>
    <r>
      <t xml:space="preserve">Sudarshan Chemical Industries Limited, 46 MIDC Estate, Dhatav, Roha, Dist. Raigad-402 116        </t>
    </r>
    <r>
      <rPr>
        <b/>
        <sz val="48"/>
        <rFont val="Arial"/>
        <family val="2"/>
      </rPr>
      <t>Consumer</t>
    </r>
    <r>
      <rPr>
        <sz val="48"/>
        <rFont val="Arial"/>
        <family val="2"/>
      </rPr>
      <t xml:space="preserve"> </t>
    </r>
    <r>
      <rPr>
        <b/>
        <sz val="48"/>
        <rFont val="Arial"/>
        <family val="2"/>
      </rPr>
      <t>No:'</t>
    </r>
  </si>
  <si>
    <r>
      <t xml:space="preserve">Sun Pharmaceuticals Industries Ltd.      
Plot A/7/8, M I D C, Ahmednagar- 414111 .                                             </t>
    </r>
    <r>
      <rPr>
        <b/>
        <sz val="48"/>
        <rFont val="Arial"/>
        <family val="2"/>
      </rPr>
      <t>Consumer No:</t>
    </r>
  </si>
  <si>
    <r>
      <t xml:space="preserve">Supreme Industries Ltd.,                          D-101/102 M.I.D.C. Jalgaon 424206                                         </t>
    </r>
    <r>
      <rPr>
        <b/>
        <sz val="48"/>
        <rFont val="Arial"/>
        <family val="2"/>
      </rPr>
      <t>Consumer No:</t>
    </r>
  </si>
  <si>
    <r>
      <t xml:space="preserve">Supreme Industries Ltd.,Unit no.3,Gadegaon,Tal-Jamner,Dist-Jalgaon-424206.     </t>
    </r>
    <r>
      <rPr>
        <b/>
        <sz val="48"/>
        <rFont val="Arial"/>
        <family val="2"/>
      </rPr>
      <t>Consumer No:</t>
    </r>
  </si>
  <si>
    <r>
      <t xml:space="preserve">Supreme Petrochem Ltd,     Village-Amdosho/wangani,Wakan-Roha road,Taluka-Roha,Dist:Raigad-402106.                                                   </t>
    </r>
    <r>
      <rPr>
        <b/>
        <sz val="48"/>
        <rFont val="Arial"/>
        <family val="2"/>
      </rPr>
      <t>Consumer No:.</t>
    </r>
  </si>
  <si>
    <r>
      <t xml:space="preserve">Suryaamba Spinning mills Ltd.                                    Survey No.300,Nayakund,Parseoni Road,Dist:441105.                          </t>
    </r>
    <r>
      <rPr>
        <b/>
        <sz val="48"/>
        <rFont val="Arial"/>
        <family val="2"/>
      </rPr>
      <t>Consumer No:.</t>
    </r>
  </si>
  <si>
    <r>
      <t xml:space="preserve">SURYALAKSHMI COTTON MILLS LIMITED.                   PLOT NO.T-3 TEXTILE PARK ADDITIONAL MIDC NANDGAON PETH-444901                         </t>
    </r>
    <r>
      <rPr>
        <b/>
        <sz val="48"/>
        <rFont val="Arial"/>
        <family val="2"/>
      </rPr>
      <t xml:space="preserve">Consumer No:
</t>
    </r>
  </si>
  <si>
    <r>
      <t>Taiko Nippon Sanso K-Air India Pvt.Ltd.(</t>
    </r>
    <r>
      <rPr>
        <i/>
        <sz val="48"/>
        <rFont val="Arial"/>
        <family val="2"/>
      </rPr>
      <t>Formerly knowm as 'Matheson K-Air India Pvt Ltd</t>
    </r>
    <r>
      <rPr>
        <sz val="48"/>
        <rFont val="Arial"/>
        <family val="2"/>
      </rPr>
      <t xml:space="preserve">)G.No.245,6,7,9/1,Kharabwadi,Chakan-Talegaon Road,Chakan,Pune-410501.                                               </t>
    </r>
    <r>
      <rPr>
        <b/>
        <sz val="48"/>
        <rFont val="Arial"/>
        <family val="2"/>
      </rPr>
      <t>Consumer No:</t>
    </r>
  </si>
  <si>
    <r>
      <t xml:space="preserve">Tapadia Polyesters Pvt Ltd.     D-4,Butibori,Nagpur-441122.                 </t>
    </r>
    <r>
      <rPr>
        <b/>
        <sz val="48"/>
        <rFont val="Arial"/>
        <family val="2"/>
      </rPr>
      <t>Consumer No:</t>
    </r>
  </si>
  <si>
    <r>
      <t xml:space="preserve">Tata Communication,
 PLT NO - C21 &amp; C36,G BLOCK,Kalina,BANDRA KURLA COMPLEX, NEAR VIDYANAGARI P O Santacruz (E),Mumbai-400098.                          </t>
    </r>
    <r>
      <rPr>
        <b/>
        <sz val="48"/>
        <rFont val="Arial"/>
        <family val="2"/>
      </rPr>
      <t xml:space="preserve">TPC-D Consumer No:      </t>
    </r>
    <r>
      <rPr>
        <sz val="48"/>
        <rFont val="Arial"/>
        <family val="2"/>
      </rPr>
      <t xml:space="preserve">                  </t>
    </r>
    <r>
      <rPr>
        <b/>
        <sz val="48"/>
        <rFont val="Arial"/>
        <family val="2"/>
      </rPr>
      <t xml:space="preserve">
</t>
    </r>
  </si>
  <si>
    <r>
      <t xml:space="preserve">Tata Communication,
8596 TISL Building Technopolis Knowledge Park,Nelco Complex,Mahakali Caves Rad Andheri (E),Mumbai-400093.                           </t>
    </r>
    <r>
      <rPr>
        <b/>
        <sz val="48"/>
        <rFont val="Arial"/>
        <family val="2"/>
      </rPr>
      <t xml:space="preserve">TPC-D Consumer No:         </t>
    </r>
    <r>
      <rPr>
        <sz val="48"/>
        <rFont val="Arial"/>
        <family val="2"/>
      </rPr>
      <t xml:space="preserve">                  </t>
    </r>
    <r>
      <rPr>
        <b/>
        <sz val="48"/>
        <rFont val="Arial"/>
        <family val="2"/>
      </rPr>
      <t xml:space="preserve">
</t>
    </r>
  </si>
  <si>
    <t xml:space="preserve">STT GLOBAL DATA CENTER INDIA PVT LTD  PVT LTD (Formarly Known as Tata Communications Ltd.), Pune- Alandi Rd, Dighi, Pune-411 015.        </t>
  </si>
  <si>
    <r>
      <t xml:space="preserve">TATA STEEL BSL LTD.,                               S NO 19/2 A AT VILLAGE NIPHAN TAL KHALAPUR DIST RAIGAD                        </t>
    </r>
    <r>
      <rPr>
        <b/>
        <sz val="47"/>
        <rFont val="Arial"/>
        <family val="2"/>
      </rPr>
      <t>MSEDCL</t>
    </r>
    <r>
      <rPr>
        <sz val="47"/>
        <rFont val="Arial"/>
        <family val="2"/>
      </rPr>
      <t xml:space="preserve"> </t>
    </r>
    <r>
      <rPr>
        <b/>
        <sz val="47"/>
        <rFont val="Arial"/>
        <family val="2"/>
      </rPr>
      <t>Consumer no.</t>
    </r>
  </si>
  <si>
    <r>
      <t xml:space="preserve">Tata Steel Limited,                                   Wire Division, Dattapara Road, Borivali East, Mumbai - 400066                                     </t>
    </r>
    <r>
      <rPr>
        <b/>
        <sz val="48"/>
        <rFont val="Arial"/>
        <family val="2"/>
      </rPr>
      <t>Consumer No:</t>
    </r>
  </si>
  <si>
    <r>
      <t xml:space="preserve">TECHNOVA imaging System Pvt Ltd., Plot no. E1/2/3, MIDC, Taloja, Dist- Raigad- 410 208.                   </t>
    </r>
    <r>
      <rPr>
        <b/>
        <sz val="48"/>
        <rFont val="Arial"/>
        <family val="2"/>
      </rPr>
      <t>MSEDCL Consumer No:</t>
    </r>
  </si>
  <si>
    <r>
      <t xml:space="preserve">The Ichalkaranji Co-op. Spinning mills ltd,               Shivanakwadi,Tal-Shirol,Dist:Kolhapur-416143.                   </t>
    </r>
    <r>
      <rPr>
        <b/>
        <sz val="48"/>
        <rFont val="Arial"/>
        <family val="2"/>
      </rPr>
      <t>Consumer No:</t>
    </r>
  </si>
  <si>
    <r>
      <t xml:space="preserve">The Jamshri Ranjitsinghji Spinning and Weaving Mills Co.Ltd.                                102, Degaon Rd, Damani Nagar, Solapur, Maharashtra 413002                                       </t>
    </r>
    <r>
      <rPr>
        <b/>
        <sz val="48"/>
        <rFont val="Arial"/>
        <family val="2"/>
      </rPr>
      <t>Consumer No:</t>
    </r>
  </si>
  <si>
    <r>
      <t xml:space="preserve">Thyssenkrupp Electrical Steel India Pvt Ltd.                                                       Gate no.472-473,Tal-Igatpuri,Dist-Nashik-422403.                  </t>
    </r>
    <r>
      <rPr>
        <b/>
        <sz val="48"/>
        <rFont val="Arial"/>
        <family val="2"/>
      </rPr>
      <t>Consumer No:</t>
    </r>
  </si>
  <si>
    <t xml:space="preserve">U.P. Twiga Fibre glass Limited,  502, Tulsiani Chambers
Plot No. 212, Block III,
Backbay Reclamation
Nariman Point
Mumbai 400021                      </t>
  </si>
  <si>
    <r>
      <t xml:space="preserve">Ultra Tech Cement Ltd                     (Unit Nagpur Cement Works) Village-Ashti,  Navegaon,Parsa, Taluka- Mouda, Dist -  Nagpur-441106.                               MSEDCL </t>
    </r>
    <r>
      <rPr>
        <b/>
        <sz val="48"/>
        <rFont val="Arial"/>
        <family val="2"/>
      </rPr>
      <t>Consumer no.</t>
    </r>
  </si>
  <si>
    <r>
      <t xml:space="preserve">UltraTech Cement Limited </t>
    </r>
    <r>
      <rPr>
        <b/>
        <i/>
        <sz val="48"/>
        <rFont val="Arial"/>
        <family val="2"/>
      </rPr>
      <t>Unit:Narmada Cement</t>
    </r>
    <r>
      <rPr>
        <sz val="48"/>
        <rFont val="Arial"/>
        <family val="2"/>
      </rPr>
      <t xml:space="preserve">,             MIDC Indusrial Estate,Zadagaon Block,Ratnagiri-415639.
</t>
    </r>
    <r>
      <rPr>
        <b/>
        <sz val="48"/>
        <rFont val="Arial"/>
        <family val="2"/>
      </rPr>
      <t xml:space="preserve">Consumer No:
</t>
    </r>
  </si>
  <si>
    <r>
      <t xml:space="preserve">Ultratech Cement Ltd,                                            (Unit:- Hotgi cement works).                  Near Hotgi Railway station, Hotgi station-413215. Dist- Solapur.                                      </t>
    </r>
    <r>
      <rPr>
        <b/>
        <sz val="48"/>
        <rFont val="Arial"/>
        <family val="2"/>
      </rPr>
      <t>Consumer No:</t>
    </r>
  </si>
  <si>
    <r>
      <t xml:space="preserve">USV Ltd,                                                                  Plot No - B/1/8 , MIDC . Lote Parshuram ., Ratnagiri Ho, Ratnagiri - 415612                            </t>
    </r>
    <r>
      <rPr>
        <b/>
        <sz val="48"/>
        <rFont val="Arial"/>
        <family val="2"/>
      </rPr>
      <t>Consumer No:</t>
    </r>
  </si>
  <si>
    <r>
      <t xml:space="preserve">Uttam Galva Steel Ltd.                   Village Donvat, Khopoli- Pen Road, Khalapur, Raigad -410 202                                                      </t>
    </r>
    <r>
      <rPr>
        <b/>
        <sz val="48"/>
        <rFont val="Arial"/>
        <family val="2"/>
      </rPr>
      <t>Consumer No:</t>
    </r>
  </si>
  <si>
    <r>
      <t xml:space="preserve">Varroc Engineering Pvt. Ltd.                                   Plot No. E-4, MIDC Industrial Area, Waluj, Aurangabad-431136                                          </t>
    </r>
    <r>
      <rPr>
        <b/>
        <sz val="48"/>
        <rFont val="Arial"/>
        <family val="2"/>
      </rPr>
      <t>Consumer No:</t>
    </r>
  </si>
  <si>
    <r>
      <t xml:space="preserve">Varroc Polymer Private Limited                               Gut No.390, Takve Bk.,
Tal. Maval, Pune-412106                     </t>
    </r>
    <r>
      <rPr>
        <b/>
        <sz val="48"/>
        <rFont val="Arial"/>
        <family val="2"/>
      </rPr>
      <t>Consumer No:</t>
    </r>
  </si>
  <si>
    <r>
      <t xml:space="preserve">Varroc Polymer Private Limited   E- 88, MIDC, Ranjan Goan, Shirur, Pune - 411002 
Maharashtra, India                             </t>
    </r>
    <r>
      <rPr>
        <b/>
        <sz val="48"/>
        <rFont val="Arial"/>
        <family val="2"/>
      </rPr>
      <t>Consumer No:</t>
    </r>
  </si>
  <si>
    <r>
      <t xml:space="preserve">Vinati Organics Ltd.             Plot no.A-20,MIDC,Lote Parshuram,Tal-Khed,Dist-Ratnagiri-415722.                </t>
    </r>
    <r>
      <rPr>
        <b/>
        <sz val="48"/>
        <rFont val="Arial"/>
        <family val="2"/>
      </rPr>
      <t>Consumer No:</t>
    </r>
  </si>
  <si>
    <r>
      <t xml:space="preserve">VIRAJ PROFILES LIMITED  Survey No.25/1 &amp; 25/2 Village: Mann Tal:Palghar, Dist: Palghar                 </t>
    </r>
    <r>
      <rPr>
        <b/>
        <sz val="44"/>
        <rFont val="Arial"/>
        <family val="2"/>
      </rPr>
      <t xml:space="preserve">MSEDCLConsumer no. </t>
    </r>
  </si>
  <si>
    <r>
      <t xml:space="preserve">Viraj Profiles Ltd. (Unit VPLG-1/3)                                                                           Plot No. G-1/3, MIDC Tarapur Industrial Estate , Boisar,Tal- Palghar, Dist. Thane - 401  506    </t>
    </r>
    <r>
      <rPr>
        <b/>
        <sz val="48"/>
        <rFont val="Arial"/>
        <family val="2"/>
      </rPr>
      <t>(Consumer no.-)</t>
    </r>
  </si>
  <si>
    <t xml:space="preserve">Viraj Profiles Ltd. (Unit VPLG-114)                                                                           S.N 114 (CV), Village Mahagao, Tal- Palghar, Dist- Thane-401 501  </t>
  </si>
  <si>
    <r>
      <t xml:space="preserve">Viraj Profiles Ltd. (Unit VPLG-140/1)                                                                           S.N 140/1, Village Saravali, Tal- Palghar, Dist- Thane-401 501   </t>
    </r>
    <r>
      <rPr>
        <b/>
        <sz val="48"/>
        <rFont val="Arial"/>
        <family val="2"/>
      </rPr>
      <t xml:space="preserve"> </t>
    </r>
  </si>
  <si>
    <t xml:space="preserve">Viraj Profiles Ltd. (Unit VPLG-22)                                                                           Plot No. G-22, MIDC Tarapur Industrial Estate , Boisar,Tal- Palghar, Dist. Thane - 401  506  </t>
  </si>
  <si>
    <r>
      <t xml:space="preserve">Viraj Profiles Ltd. (Unit VPLG-23)                                                                           Plot No. G-23, MIDC Tarapur Industrial Estate , Boisar,Tal- Palghar, Dist. Thane - 401  506  </t>
    </r>
    <r>
      <rPr>
        <b/>
        <sz val="48"/>
        <rFont val="Arial"/>
        <family val="2"/>
      </rPr>
      <t>(Consumer no.-)</t>
    </r>
  </si>
  <si>
    <r>
      <t xml:space="preserve">Viraj Profiles Ltd. (Unit VPLG-75)                                                                           Plot No. G-75, MIDC Tarapur Industrial Estate , Boisar,Tal- Palghar, Dist. Thane - 401  506 </t>
    </r>
    <r>
      <rPr>
        <b/>
        <sz val="48"/>
        <rFont val="Arial"/>
        <family val="2"/>
      </rPr>
      <t xml:space="preserve"> (Consumer no.-)</t>
    </r>
  </si>
  <si>
    <t xml:space="preserve">Viraj Profiles Ltd. (Unit VPLG-2)                                                          Plot No. G-2, MIDC Tarapur Industrial Estate , Boisar,Tal- Palghar, Dist. Thane - 401  506  </t>
  </si>
  <si>
    <r>
      <t xml:space="preserve">Visaka Industries Ltd,                            (Textile Division) Survey No. 179 &amp; 180, Chiruva Village, Mouda Taluq, Nagpur District, 440104 - Maharashtra           </t>
    </r>
    <r>
      <rPr>
        <b/>
        <sz val="48"/>
        <rFont val="Arial"/>
        <family val="2"/>
      </rPr>
      <t xml:space="preserve">Consumer No:
</t>
    </r>
  </si>
  <si>
    <r>
      <t xml:space="preserve">WNS Global Services,       3rd to 7th Floor, Wing A &amp; B,Tower 1, Cyber City, Magarpatta City,Hadapsar, Pune – 411013                               </t>
    </r>
    <r>
      <rPr>
        <b/>
        <sz val="48"/>
        <rFont val="Arial"/>
        <family val="2"/>
      </rPr>
      <t xml:space="preserve">Consumer No: </t>
    </r>
  </si>
  <si>
    <t>Bebitz Flanges Works Pvt Ltd.                                                                         S.N 140/2, Village Saravali, Tal- Palghar, Dist- Thane-401 501 (-003019026750)</t>
  </si>
  <si>
    <t>Copper Corporation Pvt.Ltd.                          M-60,ADDL.MIDC. Post Kodoli Satara-415004                                             190569021870</t>
  </si>
  <si>
    <t>Copper Corporation Pvt.Ltd. M-60-1,ADDL.MIDC. Post Kodoli Satara-415004                                                   190569006591</t>
  </si>
  <si>
    <t xml:space="preserve">Jindal Poly Films Ltd,       28-KM, Stone,Nashik-Igatpuri Road, Vill-Mundegaon, Taluka-Igatpuri, Dist- Nashik-422 403                                 </t>
  </si>
  <si>
    <t>NEOSYM INDUSTRY LTD.   
G1, Sanaswadi, Tal. Shirur, Dist. Pune 412210                                             184819037730</t>
  </si>
  <si>
    <t>Priyadarshani Sah.Soot Girni,Ltd.Shirpur.                 Tande,Chopda road,shirpur,Dist:Dhule-400001,                    Unit-I                                                        -</t>
  </si>
  <si>
    <t xml:space="preserve">Priyadarshani Sah.Soot Girni,Ltd.Shirpur.                 Tande,Chopda road,shirpur,Dist:Dhule-400001,                   Unit-II                              </t>
  </si>
  <si>
    <t xml:space="preserve">Rexam Beverage Can (India) Ltd. C-7, MIDC Taloja Industrial Area 
District Raigad, Taluka Panvel Raigad-410208                        </t>
  </si>
  <si>
    <t xml:space="preserve">Corning Technologies India Pvt.Ltd.   Plot No. D 237 MIDC Chakan Phase II, Tal: Khed, Dist: Pune- 410 501.      176759054410.      </t>
  </si>
  <si>
    <t>Finolex Industries Ltd. Village Urse, Tal. Maval,                                                                    Dist. Pune- 410 506                              181209042640</t>
  </si>
  <si>
    <t xml:space="preserve">Galaxy Sufactants Limited
Plot no. . V-23, MIDC, Taloja &amp; Plot no. 1, Village-Chal, Near Taloja Ind. Area, Tal- Panvel, Dist-Raigad-410208.                  28619021110   </t>
  </si>
  <si>
    <t>Godfrey Philips India Ltd.    Rabale, Navi Mumbai, Maharashtra 400701                              119036670</t>
  </si>
  <si>
    <t>Godrej Industries Limited,                           Plot No. N-73, MIDC Additional , Ambernath Industrial Area, Anand Nagar, Ambernath, Maharashtra 421506                                       21529054060</t>
  </si>
  <si>
    <t>Indo Count Industries Ltd,     T-3,kagal-Hatkanangale Five Star MIDC Ind.area,Kolhapur-416216.</t>
  </si>
  <si>
    <t xml:space="preserve">Indoworth India Limited
B-130, MIDC Industrial Area, Butibori, Nagpur - 441122 </t>
  </si>
  <si>
    <t>Inox Air Products Pvt Ltd.     Plot No.B-131,MIDC Indl.Area,Butibori,Dist-Nagpur-441122.</t>
  </si>
  <si>
    <t xml:space="preserve">Inox Air Products Pvt Ltd.                 B-93,Vile bhagad MIDC,Tlika-Mangaon,Dist-Raigad-402308.                  </t>
  </si>
  <si>
    <t xml:space="preserve">ISIBARS Limited,                               Zenith Compound, Zenith Colony, Khopoli, Maharashtra 410203                                      </t>
  </si>
  <si>
    <t xml:space="preserve">ISMT Ltd.,                          C-1,MIDC,Ahmadnagar-414111.                              </t>
  </si>
  <si>
    <t xml:space="preserve">Jawahar Shetkari Soot Girani Ltd. Hutatma Shirishkumar Nagar,, A.P. Morane (Laling),, Dhule, Maharashtra 424001 Unit-AB, </t>
  </si>
  <si>
    <t xml:space="preserve">JCB India Ltd,                                       PL.No.A/A MIDC Talegaon-Dabhade,Tal.Maval,Dist:Pune-410507.                          </t>
  </si>
  <si>
    <t xml:space="preserve">Jindal Saw Limited,                                                                                          A-59-60, MIDC Malegaon Taluka Sinnar, Nashik- 422 113                                       Unit-II </t>
  </si>
  <si>
    <t xml:space="preserve">Jindal Saw Limited,                                                                              A-59-60, MIDC Malegaon Taluka Sinnar, Nashik- 422 113                                            </t>
  </si>
  <si>
    <t xml:space="preserve">JSW Cement Ltd.                                             Village Khar Karavi, Tal Pen ,Dist.Raigad-402107.                                   </t>
  </si>
  <si>
    <t xml:space="preserve">JSW Steel Coated Products Ltd (Earlier known as JSW ISPAT Steel Ltd). A-10/1, MIDC Industrial Area, Kalmeshwar,   Dist: Nagpur – 441 501                                           </t>
  </si>
  <si>
    <t xml:space="preserve">JSW STEEL COATED PRODUCTS LTD            BOMBAY AGRA HIGHWAY NO3 VILL.VASHIND TAL-SHAHAPUR WASHIND-421604.                   
</t>
  </si>
  <si>
    <t xml:space="preserve">K. S. L. &amp; INDUSTRIES LTD             AT THE PREMISES OF DECCAN CO. OP. SPINNING MILL, STATION ROAD, ICHALKARANJI-416117.                        
</t>
  </si>
  <si>
    <t xml:space="preserve">KALYANI LEMMERZ LIMITED             Gat No 635, Kuruli Village,Chakan, Tal Khed, Chakan-410501.
</t>
  </si>
  <si>
    <t xml:space="preserve">KALYANI TECHNOFORGE LIMITED           PRIVATE LIMITED                                     S NO 72-76 MUNDHAWA PUNE MUNDHAWA-411036
</t>
  </si>
  <si>
    <t xml:space="preserve">KALYANI TECHNOFORGE LTD.             G.NO.E-84, MIDC RANJANGAON TAL. SHIRUR, DIST. PUNE RANJANGAON-412220                         
</t>
  </si>
  <si>
    <t xml:space="preserve">KORES (INDIA) LTD                PEFCO   FOUNDRY   DIVISION E-14,15&amp;16  BHOSARI INDUSTRIAL AREA PUNE 411026(INDIA)
</t>
  </si>
  <si>
    <t xml:space="preserve">Kores (India) Ltd,                Gat no.149,Chakan-Talegaon road,Chakan,Pune-411501.  </t>
  </si>
  <si>
    <t xml:space="preserve">Krishna Verla Magaswargiya Sahakari Soot Girni Ltd.                    Palus,Tal-Palus,Dist-Sangali-416310.                                           </t>
  </si>
  <si>
    <t xml:space="preserve">KSL &amp; INDUSTRIES UNIT II          AT BRAMHNI FATA KATOL ROAD TQ.   KALMESHWAR DIST.  NAGPUR-441501.                      
</t>
  </si>
  <si>
    <t xml:space="preserve">LLOYDS METALS AND ENERGY LTD.                 M.I.D.C. GHUGUS DIST CHANDRAPUR GHUGUS-442505.                                                                </t>
  </si>
  <si>
    <t xml:space="preserve">Lona Industries Ltd.,            Ladivali,Next to H.O.C.Ltd,Post-Gulsunde,tal-Panvel,Dist-Raigad-410207.                    </t>
  </si>
  <si>
    <t xml:space="preserve">Lupin Ltd,                         A-28/1,MIDC-Chikhalthana,Aurangabad-431210.               </t>
  </si>
  <si>
    <t xml:space="preserve">Lupin Chemicals Ltd.,                             T-142, MIDC Industrial Area, Tarapur, Via Boisar, District Thane – 401506     </t>
  </si>
  <si>
    <t xml:space="preserve">Magneti Marelli Motherson Auto System Pvt. Ltd.          Gat no.148-150,Village-Ambethan,Taluka-Khed,Pune-410501.            </t>
  </si>
  <si>
    <t xml:space="preserve">Mahabal Metal Pvt Ltd.         Plot No.23,Miraj,Block MIDC,Miraj-416410.             </t>
  </si>
  <si>
    <t>Mahatma Phule Magaswargiya Sahakari Soot Girni ltd.PethVadgaon, P.B. Road,Wathar,Tal-Hatkanangale,Dist:Kolhapur-416 112.</t>
  </si>
  <si>
    <t xml:space="preserve">Mahindra &amp; Mahindra Ltd
Farm Equipment Sector,MIDC,Area,Hingna Road,Nagpur-440016.          </t>
  </si>
  <si>
    <t xml:space="preserve">Mahindra &amp; Mahindra Ltd.
Igatpuri Plant, Mouje Talegaon, Igatpuri Dist-Nashik-422403. </t>
  </si>
  <si>
    <t xml:space="preserve">Mahindra CIE Automotive Ltd. (Formerly known as Mahindra Hinoday Industries Limited )            G.No.318,Urse Gaon,Tal.Maval,Dist. Pune-410501                                         </t>
  </si>
  <si>
    <t xml:space="preserve">Mahindra Forgings Limited,                                                    557-860,Chakan Ambethan Road,Tal.Khed.Dist.Pune-410 501                                           </t>
  </si>
  <si>
    <t xml:space="preserve">MAHINDRA HINODAY INDUSTRIES LTD                                               Gat#318, At Post Urse, Taluka Maval,
District Pune 410506 
 181209030548
</t>
  </si>
  <si>
    <t xml:space="preserve">MAHINDRA HINODAY INDUSTRIES LTD                                              BHOSARI INDUSTRIES ESTATE BHOSARI,Near BSNL office, PUNE-411026.                                         
</t>
  </si>
  <si>
    <t xml:space="preserve">Mahindra Sanyo Special Steel Pvt Ltd. Jagdish Nagar, Khopoli- 410 216 (Former Steel Division of MUSCO)             </t>
  </si>
  <si>
    <t xml:space="preserve">Mahindra Vehicle Manufacturers Limited,                                                      Plot no. A-1, Phase-IV, Chakan MIDC, Taluka-Khed, District-Pune 410501  </t>
  </si>
  <si>
    <t xml:space="preserve">Mangrull Mills Ltd,                                             Behind Saraf Chambers, Mount Road, Sadar, Nagpur - 440 001                                          </t>
  </si>
  <si>
    <t xml:space="preserve">Meenakshi Ferro Ingots Pvt.Ltd.                              Gat No.350/361,Bhandgaon,Khor Road,Yawat,Tal.Daund Dist.Pune-412214.                                           </t>
  </si>
  <si>
    <t xml:space="preserve">Megafine Pharma (P) Ltd,    Gat No. 51-201,Tal-Dindori,Lakhamapur,Dist-Nashik-422202.                                                             </t>
  </si>
  <si>
    <t xml:space="preserve">Mutha Founders Pvt Ltd.      L-7 Addl.MIDC,P.O.,Kodoli, Satara-415004.                          </t>
  </si>
  <si>
    <t xml:space="preserve">Mutha Spherocast (I) Pvt Ltd.                                 K-1,Additional MIDc,Degaon road,P.O.,Kodoli, Satara-415004.                          </t>
  </si>
  <si>
    <t xml:space="preserve">NAGPUR ZILLA KAPAS UTPADAK SAHKARI SUTGIRNI LT           PATANSAWANGI TAL SAONER DIST NAGPUR-440018
</t>
  </si>
  <si>
    <t xml:space="preserve">Nagreeka Export Ltd,                      Village-Yavaluj,Tal-Panhala,Dist-Kolhapur-416205.                                </t>
  </si>
  <si>
    <t xml:space="preserve">NAMCO Industries Pvt Ltd,  Survey No.140-144,Village-Horale,Post-Wawoshi,Tal-Khalapur,Dist:Raigad-410203.                   </t>
  </si>
  <si>
    <t xml:space="preserve">NITCO Limited   Village. Shirgaon, Tal. Alibag, Dist. Raigad410 208.                               </t>
  </si>
  <si>
    <t xml:space="preserve">NOCIL Limited
C-37,TTC Industrial Area,Post-Turbhe,Off Thane-Belapur Road,Pawne Village,Navi Mumbai-400705.                                       </t>
  </si>
  <si>
    <t xml:space="preserve">OMYA  INDIA  PVT.  LTD.
PLOT NO.  T-18, MIDC, TALOJA , TAH: PANVEL, DIST. RAIGAD TALOJA-410208.
</t>
  </si>
  <si>
    <t xml:space="preserve">Orient Cement Ltd.,                                                                            N. H. no. 06 Near Nashirabad Village, Jalgaon-425309.                      </t>
  </si>
  <si>
    <t xml:space="preserve">Parag Milk Foods Pvt. Ltd,                  Aawasari Phata Manchar, Taluka Ambegaon, Pune, Maharashtra 410503                          </t>
  </si>
  <si>
    <t xml:space="preserve">Pee Vee Textiles Ltd,N. H. No. 7, JAM-4420305
SAMUDRAPUR, MAHARASHTRA Unit-1        </t>
  </si>
  <si>
    <t xml:space="preserve">Pee Vee Textiles Ltd,N. H. No. 7, JAM-4420305
SAMUDRAPUR, MAHARASHTRA Unit-2       </t>
  </si>
  <si>
    <t xml:space="preserve">PEPSICO HOLDING PVT LTD                                              Plot No D17, MIDC Area, Paithan, Aurangabad HO, Aurangabad-Maharashtra - 431001.                             </t>
  </si>
  <si>
    <t xml:space="preserve">Pepsico India Holdings,                                                                    Plot No. C-5, MIDC Ranjan Gao, Tal- Shirur, Dist- Pune 412220.                                        </t>
  </si>
  <si>
    <t xml:space="preserve">POSCO Maharashtra Steel Pvt Limited,                                                       Plot No. C-1, Vile-Bhagad, MIDC Industrial Area, Tal- Mangaon, Dist.-Raigad, Maharashtra-402308                          </t>
  </si>
  <si>
    <t xml:space="preserve">Praxair India Pvt. Ltd.Plot no A-3, MIDC IND.  Area, Murbad, Dist- Thane-421401.           18019053600 </t>
  </si>
  <si>
    <t xml:space="preserve">Precision Camshaft Ltd. D-5, MIDC CHINCHOLI KATI, TAL. MOHOL, SOLAPUR-413 255.               </t>
  </si>
  <si>
    <t xml:space="preserve">Precision Camshaft Ltd.      D-7, MIDC CHINCHOLI KATI, TAL. MOHOL, SOLAPUR-413 255.                            </t>
  </si>
  <si>
    <t xml:space="preserve">Precision Camshaft Ltd. Unit-II, D-7, MIDC CHINCHOLI KATI, TAL. MOHOL, SOLAPUR-413 255.                           </t>
  </si>
  <si>
    <t xml:space="preserve">PRIYADARSHANI SAHAKARI SOOT GIRNI LTD,                                          PLOT NO E-2 MIDC, LOHARA YAVATMAL-445001
</t>
  </si>
  <si>
    <t xml:space="preserve">PULGAON COTTON MILLS         NEAR RAILWAY STATION PULGAON MH 442302 
</t>
  </si>
  <si>
    <t xml:space="preserve">R L STEELS &amp; ENERGY LTD. GUT NO. 78-81, PANGRA SHIVAR, PAITHAN ROAD, CHITENGAON, Aurangabad - 431107                                                 </t>
  </si>
  <si>
    <t xml:space="preserve">RAMSON INDUSTRIES LTD,          Shri Rajesh Sarda A - 301, Neeti Gaurav, Central Bazar Road, Ramdaspeth, Nagpur, Maharashtra 440010.
</t>
  </si>
  <si>
    <t xml:space="preserve">RAMSONS CASTINGS PRIVATE LTD                                                 Plot No-3,4,8,9,10 MIDC area,Hingana Road,Nagpur,MH.-441110
</t>
  </si>
  <si>
    <t>Raymond Luxury Cottons  Limited                      Plot No.T-1,Kagal Hatkanagale Five Star Industrial area Kasba:Sangaon,Taluka-Kagal,Dist:Kolhapur-416236..</t>
  </si>
  <si>
    <t xml:space="preserve">Raymond UCO Denim Private  Limited                                                    Plot C-1, MIDC, Lohara, Dist-Yavatmal-445 001                                   </t>
  </si>
  <si>
    <t xml:space="preserve">Roha Dyechem Pvt. Ltd. Plot No 42 , MIDC , Dhatav, Tal.-Roha, Raigad-402116.                    </t>
  </si>
  <si>
    <t xml:space="preserve">RPL URJA (Division of Rasoya Protiens Ltd),
Village Kalmana, Tal.Wani, 
Dist.Yavatmal.                               </t>
  </si>
  <si>
    <t xml:space="preserve">Sagreshwar Sahakari Soot Girni Ltd., Tal: Kadegaon, Dist: Sangli, Kadegaon-415304.                             </t>
  </si>
  <si>
    <t xml:space="preserve">SANDOZ  PVT. LTD.
MIDC Plot No. 8-A/2, 8-B, T.T.C. Ind. Area, Kalwe Block, Village, Digha Naka, Navi Mumbai, Maharashtra 400708
</t>
  </si>
  <si>
    <t xml:space="preserve">Sandoz Pvt Ltd,                                        PLOT NO.D31/32,TTc Industrial Area,Turbhe,Navi-Mumbai-400705..                  </t>
  </si>
  <si>
    <t xml:space="preserve">Sandoz Pvt Ltd,                                        PLOT NO.L-1
 ADDITIONAL 
PHASE MIDC MAHAD, Raigad-402309.                              </t>
  </si>
  <si>
    <t xml:space="preserve">Schreiber Dynamics Dairies Limited,                                                     DOOR NO. E-94, BHIGWAN ROAD, Baramati - 413133, Maharashtra.                          </t>
  </si>
  <si>
    <t xml:space="preserve">Shetkari Mahila Sahakari Vastranirman Soot Girni Maryadit,Sangole,Dist:Solapur-413307.                                                    </t>
  </si>
  <si>
    <t xml:space="preserve">Shetkari Sahakari  Soot Girni Maryadit,                     Sangole,Dist:Solapur-413307.                               </t>
  </si>
  <si>
    <t>Shree Swami Samarth Shetkari Wa Vinkari Sahakari Soot Girni Ni.Valasang                                           A/P-Valsang Dist-Solapur-413228.                              .</t>
  </si>
  <si>
    <t xml:space="preserve">Siemens Limited  Kalwa Works, Thane Belapur Road, Airoli, Navi Mumbai - 400 708  </t>
  </si>
  <si>
    <t>Sify Technologies Ltd.                                  K-10, Kalwa Industrial Area, Airoli, Thane-Belapur Rd
Navi Mumbai -400708                                           489024380</t>
  </si>
  <si>
    <t xml:space="preserve">SKF Bearing India Limited,                          Pimpri - Chikhali Road, Near Chafekar Chowk, Chinchwad, Pune, Maharashtra 411033                                     </t>
  </si>
  <si>
    <t xml:space="preserve">Sona Alloys Pvt. Ltd.,                           C-1, MIDC, Lonand,                         Dist Satara- 415 521                                  </t>
  </si>
  <si>
    <t xml:space="preserve">SOUTH ASIA TYRES LTD                      Goodyear South Asia Tyres Pvt. Ltd; H-18, MIDC Industrial Area; Waluj, Aurangabad – 431136.                              </t>
  </si>
  <si>
    <t xml:space="preserve">SPENTEX INDUSTRIES LTD                 D-48,M I D C BARAMATI TAL BARAMATI DIST PUNE BARAMATI-413133.                             
</t>
  </si>
  <si>
    <t xml:space="preserve">SPENTEX INDUSTRIES LTD             P. NO.A-31 M I D C BUTIBORI D-Nagpur-441122.                      
</t>
  </si>
  <si>
    <t xml:space="preserve">SPENTEX INDUSTRIES LTD ( UNIT B)               P.NO. D-48, MIDC BARAMATI TAL. BARAMATI, DIST. PUNE BARAMATI-413133.                    </t>
  </si>
  <si>
    <t xml:space="preserve">STEEL AUTHORITY OF INDIA LTD FERROALLOY PLANT, Chandrapur Ferro Alloy Plant, Mul Road, Chandrapur - 442 401                    
</t>
  </si>
  <si>
    <t>Sterlite Technologies Ltd. AL-23, Shendra MIDC SEZ, Aurangabad - 431201.                 490539042670</t>
  </si>
  <si>
    <t xml:space="preserve">Sudarshan Chemical Industries Limited, 46 MIDC Estate, Dhatav, Roha, Dist. Raigad-402 117                        </t>
  </si>
  <si>
    <t>Sudarshan Chemical Industries Limited, 46 MIDC Estate, Dhatav, Roha, Dist. Raigad-402 116        '</t>
  </si>
  <si>
    <t xml:space="preserve">Sun Pharmaceuticals Industries Ltd.      
Plot A/7/8, M I D C, Ahmednagar- 414111 .                                             </t>
  </si>
  <si>
    <t xml:space="preserve">Supreme Industries Ltd.,                          D-101/102 M.I.D.C. Jalgaon 424206                                         </t>
  </si>
  <si>
    <t xml:space="preserve">Supreme Industries Ltd.,Unit no.3,Gadegaon,Tal-Jamner,Dist-Jalgaon-424206.     </t>
  </si>
  <si>
    <t>Supreme Petrochem Ltd,     Village-Amdosho/wangani,Wakan-Roha road,Taluka-Roha,Dist:Raigad-402106.                                                   .</t>
  </si>
  <si>
    <t>Suryaamba Spinning mills Ltd.                                    Survey No.300,Nayakund,Parseoni Road,Dist:441105.                          .</t>
  </si>
  <si>
    <t xml:space="preserve">SURYALAKSHMI COTTON MILLS LIMITED.                   PLOT NO.T-3 TEXTILE PARK ADDITIONAL MIDC NANDGAON PETH-444901                         
</t>
  </si>
  <si>
    <t xml:space="preserve">Taiko Nippon Sanso K-Air India Pvt.Ltd.(Formerly knowm as 'Matheson K-Air India Pvt Ltd)G.No.245,6,7,9/1,Kharabwadi,Chakan-Talegaon Road,Chakan,Pune-410501.                                               </t>
  </si>
  <si>
    <t xml:space="preserve">Tapadia Polyesters Pvt Ltd.     D-4,Butibori,Nagpur-441122.                 </t>
  </si>
  <si>
    <t>TECHNOVA imaging System Pvt Ltd., Plot no. T-4, MIDC, Taloja, Dist- Raigad- 410 208.  28619033260</t>
  </si>
  <si>
    <t xml:space="preserve">The Ichalkaranji Co-op. Spinning mills ltd,               Shivanakwadi,Tal-Shirol,Dist:Kolhapur-416143.                   </t>
  </si>
  <si>
    <t xml:space="preserve">The Jamshri Ranjitsinghji Spinning and Weaving Mills Co.Ltd.                                102, Degaon Rd, Damani Nagar, Solapur, Maharashtra 413002                                       </t>
  </si>
  <si>
    <t xml:space="preserve">Thyssenkrupp Electrical Steel India Pvt Ltd.                                                       Gate no.472-473,Tal-Igatpuri,Dist-Nashik-422403.                  </t>
  </si>
  <si>
    <t xml:space="preserve">UltraTech Cement Limited Unit:Narmada Cement,             MIDC Indusrial Estate,Zadagaon Block,Ratnagiri-415639.
</t>
  </si>
  <si>
    <t xml:space="preserve">Ultratech Cement Ltd,                                            (Unit:- Hotgi cement works).                  Near Hotgi Railway station, Hotgi station-413215. Dist- Solapur.                                      </t>
  </si>
  <si>
    <t xml:space="preserve">USV Ltd,                                                                  Plot No - B/1/8 , MIDC . Lote Parshuram ., Ratnagiri Ho, Ratnagiri - 415612                            </t>
  </si>
  <si>
    <t xml:space="preserve">Uttam Galva Steel Ltd.                   Village Donvat, Khopoli- Pen Road, Khalapur, Raigad -410 202                                                      </t>
  </si>
  <si>
    <t xml:space="preserve">Varroc Engineering Pvt. Ltd.                                   Plot No. E-4, MIDC Industrial Area, Waluj, Aurangabad-431136                                          </t>
  </si>
  <si>
    <t xml:space="preserve">Varroc Polymer Private Limited                               Gut No.390, Takve Bk.,
Tal. Maval, Pune-412106                     </t>
  </si>
  <si>
    <t xml:space="preserve">Varroc Polymer Private Limited   E- 88, MIDC, Ranjan Goan, Shirur, Pune - 411002 
Maharashtra, India                             </t>
  </si>
  <si>
    <t>Venus Wire Industries Pvt Ltd,    Unit No.2002, 20th Floor Tower No. 3 Indiabulls Finance Centre, Senapati Bapat Marg,, Mumbai, Maharashtra 400013                            31709017686</t>
  </si>
  <si>
    <t xml:space="preserve">Vinati Organics Ltd.             Plot no.A-20,MIDC,Lote Parshuram,Tal-Khed,Dist-Ratnagiri-415722.                </t>
  </si>
  <si>
    <t xml:space="preserve">Visaka Industries Ltd,                            (Textile Division) Survey No. 179 &amp; 180, Chiruva Village, Mouda Taluq, Nagpur District, 440104 - Maharashtra           
</t>
  </si>
  <si>
    <t xml:space="preserve">WNS Global Services,       3rd to 7th Floor, Wing A &amp; B,Tower 1, Cyber City, Magarpatta City,Hadapsar, Pune – 411013                                </t>
  </si>
  <si>
    <t xml:space="preserve">Jain Irrigation Systems Ltd.MIS Division,Jain Plastic Park,Bambhori,Jalgaon - 425001,                         </t>
  </si>
  <si>
    <t xml:space="preserve">JSW STEEL COATED PRODUCTS LTD.                   B-6 MIDC , INDUSTRIAL AREA NAVAPUR ROAD BOISAR.                     003019004642 </t>
  </si>
  <si>
    <t xml:space="preserve">JSW Steel Coated Products Ltd., A/10/1 &amp; 10/2, MIDC, Industrial Area, Kalmeshwar, Dist. Nagpur 441501.      430019002670  </t>
  </si>
  <si>
    <t xml:space="preserve">SAARLOHA ADVANCED MATERIALS PVT.LTD (Formerly known as Kalyani Carpenter Special Steels Private Ltd.)               Mundhwa , Pune-411036                </t>
  </si>
  <si>
    <t>Maharashtra Seamless Ltd.  402, Sarjan Plaza, 100 Dr.annie Besant road, Worli, Mumbai-400018.                        037279017847.</t>
  </si>
  <si>
    <t xml:space="preserve">MAHINDRA CIE Atomotive Ltd.            (Formerly known as Mahindra Hinoday Industries Limited )            P-857-860,CHAKAN AMBETHAN ROAD,TAL KHED, DIST PUNE CHAKAN-410501.
 176029030058
</t>
  </si>
  <si>
    <t xml:space="preserve">Owens Corning Pvt. Ltd.,                                   Plot No. T-28, MIDC Phase-2, Taloja, Dist- Raigad-410 208.                     </t>
  </si>
  <si>
    <t>Reliance Industries Limited                 MIDC Industrial,Patalganga, Rasayani-410207, dist-Raigad,  031129010081</t>
  </si>
  <si>
    <t xml:space="preserve">SHRINIWAS ENGINEERING AUTOCOMP PVT.LTD,                 Survey No. 492, Near Talegaon MIDC,
Navlakh Umbre, Maval, Pune 410 507.
Maharashtra, INDIA.                              </t>
  </si>
  <si>
    <t xml:space="preserve">SIFY TECHNOLOGIES LTD.                                    K-10, Kalwa Industrial Area, Airoli, Thane-Belapur Rd  Navi Mumbai 400708                                           </t>
  </si>
  <si>
    <t>Sterlite Technologies Ltd.     E1,E2,E3,MIDC,Walunj, Aurangabad-431136.            490019007470.</t>
  </si>
  <si>
    <t xml:space="preserve">TATA STEEL BSL LTD.,                               S NO 19/2 A AT VILLAGE NIPHAN TAL KHALAPUR DIST RAIGAD                         </t>
  </si>
  <si>
    <t xml:space="preserve">TECHNOVA imaging System Pvt Ltd., Plot no. E1/2/3, MIDC, Taloja, Dist- Raigad- 410 208.                    </t>
  </si>
  <si>
    <t xml:space="preserve">Ultra Tech Cement Ltd                     (Unit Nagpur Cement Works) Village-Ashti,  Navegaon,Parsa, Taluka- Mouda, Dist -  Nagpur-441106.                                </t>
  </si>
  <si>
    <t xml:space="preserve">MAHINDRA MAHINDRA LTD
FES Tractor Division, Akruli Road, Kandivali-East, Mumbai - 400101.                                          
</t>
  </si>
  <si>
    <t xml:space="preserve">Mandke Foundation
Kokilaben Dhirubhai Ambani Hospital &amp; Research Centre, Four Bunglows,R.A.Patwardhan Marg,Andheri(W), Mumbai-400053                                          </t>
  </si>
  <si>
    <t xml:space="preserve">OBEROI MALL LTD
OBEROI GARDEN CITY,OPP WESTERN EXPRESS HIGHWAY,GOREGAON EAST,MUMBAI - 400063                                                
</t>
  </si>
  <si>
    <t xml:space="preserve">Mumbai International Airport limited (MIAL),
TERMINAL 1C SANTACRUZ AIRPORT,CSI AIRPORT SAHAR,Mumbai-400099.                             
</t>
  </si>
  <si>
    <t xml:space="preserve">Mumbai International Airport limited (MIAL),
TERMINAL 2 HVAC 1 SAHAR AIRPORT,CSI AIRPORT SAHAR,Mumbai-400099.                                                       
</t>
  </si>
  <si>
    <t xml:space="preserve">Mumbai International Airport limited (MIAL),
TERMINAL 2 PHASE 1 SAHAR AIRPORT,CSI AIRPORT SAHAR,Mumbai-400099.                              
</t>
  </si>
  <si>
    <t xml:space="preserve">Mumbai International Airport limited (MIAL),
TERMINAL 2 PHASE 2 SAHAR AIRPORT,CSI AIRPORT SAHAR,Mumbai-400099.                                                   
</t>
  </si>
  <si>
    <t xml:space="preserve">Mumbai International Airport limited (MIAL),
TERMINAL 2 PHASE 3 SAHAR AIRPORT,CSI AIRPORT SAHAR,Mumbai-400099.                                                        
</t>
  </si>
  <si>
    <t xml:space="preserve">Mumbai International Airport limited (MIAL),
TERMINAL 2 PHASE 4 SAHAR AIRPORT,CSI AIRPORT SAHAR,Mumbai-400099.                                                         
</t>
  </si>
  <si>
    <t xml:space="preserve">Naman Hotels
 SOFITEL HOTEL,C-57 &amp; 58,G-BLOCK BKC, NEAR DHIRUBHAI AMBANI INTERNATIONAL SCH Bandra (E),Mumbai-400051                                     
</t>
  </si>
  <si>
    <t xml:space="preserve">Tata Communication,
 PLT NO - C21 &amp; C36,G BLOCK,Kalina,BANDRA KURLA COMPLEX, NEAR VIDYANAGARI P O Santacruz (E),Mumbai-400098.                                                   
</t>
  </si>
  <si>
    <t xml:space="preserve">Tata Communication,
8596 TISL Building Technopolis Knowledge Park,Nelco Complex,Mahakali Caves Rad Andheri (E),Mumbai-400093.                                                       
</t>
  </si>
  <si>
    <t>Utility</t>
  </si>
  <si>
    <t>Consumer No.</t>
  </si>
  <si>
    <t>Sr.No</t>
  </si>
  <si>
    <t xml:space="preserve">Entity vide its letter dated 05.12.2018 submitted the RPO data and RE/REC Procurement details. Entity has fulfilled the RPO by procuring S / NS RECs. MEDA has  not considered GEC submitted by obligated entity. </t>
  </si>
  <si>
    <t>As per report submitted by entity vide its letter dated 27.09.2016, Entity is obligated under RPO in OA consumer category for FY 2015-16.MEDA has not considered GEC submitted by obligated entity.</t>
  </si>
  <si>
    <t>As per report submitted by entity vide its letter dated 05.12.2018, Entity is obligated under RPO in OA consumer category for FY 2016-17. MEDA has  not considered GEC submitted by obligated entity.</t>
  </si>
  <si>
    <t xml:space="preserve">Entity vide its letter dated 30.08.2016 submitted the RPO data and RE/REC Procurement details. Entity has fulfilled the RPO by procuring S / NS RECs. MEDA has  not considered GEC submitted by obligated entity. </t>
  </si>
  <si>
    <t>As per report submitted by entity vide its letter dated 30.08.2016 Entity is obligated under RPO in OA consumer category for FY 2015-16.MEDA has not considered GEC submitted by obligated entity.</t>
  </si>
  <si>
    <t xml:space="preserve">Entity vide its letter dated 17.04.2017 submitted the RPO data and RE/REC Procurement details. Entity has fulfilled the RPO by procuring S / NS RECs. MEDA has not considered GEC submitted by obligated entity. </t>
  </si>
  <si>
    <t>As per report submitted by entity vide its letter dated 24.08.2016,17.04.2017 Entity is obligated under RPO in OA consumer category for FY 2015-16.MEDA has  not considered GEC submitted by obligated entity.</t>
  </si>
  <si>
    <t xml:space="preserve">Entity vide ts letter dated 06.08.2015 submitted the RPO data and RE Procurement details. Entity has fulfilled the RPO by procuring S / NS RECs. MEDA has not considered GEC submitted by obligated entity. </t>
  </si>
  <si>
    <t>As per report submitted by entity vide its letter dated 16.08.2016, Entity is obligated under RPO in OA consumer category for FY 2015-16. REC Proof not submitted.MEDA has not considered GEC submitted by obligated entity.</t>
  </si>
  <si>
    <t>As per report submitted by entity vide its letter dated 31.08.2016, Entity is obligated under RPO in OA consumer category for FY 2015-16.MEDA has not considered GEC submitted by obligated entity.</t>
  </si>
  <si>
    <t xml:space="preserve">Entity vide Its letter dated 18.03.2016 &amp; 16.09.2016 submitted the RPO data . Entity has fulfilled the RPO by procuring S / NS RECs. MEDA has not considered GEC submitted by obligated entity. </t>
  </si>
  <si>
    <t>As per report submitted by entity vide its letter dated 16.09.2016, Entity is obligated under RPO in OA consumer category for FY 2015-16.MEDA has not considered GEC submitted by obligated entity.</t>
  </si>
  <si>
    <t>As per report submitted by entity vide its letter dated 10.05.2017, Entity is obligated under RPO in OA consumer category for FY 2016-17.MEDA has not considered GEC submitted by obligated entity.</t>
  </si>
  <si>
    <t xml:space="preserve">Entity vide ts letter dated 30.04.2015 submitted the RPO data and RE Procurement details. Entity has fulfilled the RPO by procuring S / NS RECs. MEDA has not considered GEC submitted by obligated entity. </t>
  </si>
  <si>
    <t>As per report submitted by entity vide its letter dated 10.04.2017 Entity is obligated under RPO in OA consumer category for FY 2015-16.MEDA has not considered GEC submitted by obligated entity.</t>
  </si>
  <si>
    <t xml:space="preserve">Entity vide its letter dated 15.12.2018 submitted the RPO data and RE/REC Procurement details.MEDA has not considered GEC submitted by obligated entity. </t>
  </si>
  <si>
    <t>As per report submitted by entity vide its letter dated 16.08.2016, Entity is obligated under RPO in OA consumer category for FY 2015-16.MEDA has not considered GEC submitted by obligated entity.</t>
  </si>
  <si>
    <t xml:space="preserve">Entity vide its letter dated 16.11.2015 submitted the RPO data and RE/REC Procurement details. Entity has fulfilled the RPO by procuring S / NS RECs. MEDA has  not considered GEC submitted by obligated entity. </t>
  </si>
  <si>
    <t>As per report submitted by entity vide its letter dated 31.05.2016, Entity is obligated under RPO in OA consumer category for FY 2015-16.MEDA has not considered GEC submitted by obligated entity.</t>
  </si>
  <si>
    <t>As per report submitted by entity vide its letter dated 06.07.2016, Entity is obligated under RPO in OA consumer category for FY 2015-16.MEDA has not considered GEC submitted by obligated entity.</t>
  </si>
  <si>
    <t xml:space="preserve">Entity vide Its letter dated 30/10/2015 submitted the RPO data . Entity has fulfilled the RPO by procuring S / NS RECs. MEDA has cnot considered GEC submitted by obligated entity. </t>
  </si>
  <si>
    <t>As per report submitted by entity vide its letter dated 26.07.2016 Entity is obligated under RPO in OA consumer category for FY 2015-16.MEDA has not considered GEC submitted by obligated entity.</t>
  </si>
  <si>
    <t>As per report submitted by entity vide its letter dated 13.04.2018, Entity is obligated under RPO in OA consumer category for FY 2016-17.MEDA has not considered GEC submitted by obligated entity.</t>
  </si>
  <si>
    <t>As per report submitted by entity vide its letter dated 17.08.2016, Entity is obligated under RPO in OA consumer category for FY 2015-16.MEDA has not considered GEC submitted by obligated entity.</t>
  </si>
  <si>
    <t>As per report submitted by entity vide its letter dated 18.08.2016, Entity is obligated under RPO in OA consumer category for FY 2015-16.MEDA has considered GEC as per the report submitted by MSEDCL and not considered GEC submitted by obligated entity.</t>
  </si>
  <si>
    <t>Adani Electricity Mumbai Ltd ( Formarly R-infra-D) has verified  &amp; submitted GEC &amp; Contract Demand &amp; same is updated By MEDA.</t>
  </si>
  <si>
    <t>As per report submitted by entity vide its letter dated 05.07.2017 Entity is obligated under RPO in OA consumer category for FY 2015-16.MEDA has not considered GEC submitted by obligated entity.</t>
  </si>
  <si>
    <t>As per report submitted by entity vide its letter dated 05.07.2017 Entity is obligated under RPO in OA consumer category for FY 2015-16.MEDA has considered GEC as per the report submitted by TPC-D and not considered GEC submitted by obligated entity.</t>
  </si>
  <si>
    <t>As per report submitted by entity vide its letter dated 13.08.2016 Entity is obligated under RPO in OA consumer category for FY 2015-16.MEDA has not considered GEC submitted by obligated entity.</t>
  </si>
  <si>
    <t xml:space="preserve">Entity vide Its letter dated 30.04.2015 submitted the RPO data . Entity has fulfilled the partly RPO by procuring S / NS RECs. MEDA has  not considered GEC submitted by obligated entity. </t>
  </si>
  <si>
    <t>As per report submitted by entity vide its letter dated 16.08.2016 Entity is obligated under RPO in OA consumer category for FY 2015-16.MEDA has not considered GEC submitted by obligated entity.</t>
  </si>
  <si>
    <t>As per report submitted by entity vide its letter dated 20.05.2016, Entity is obligated under RPO in OA consumer category for FY 2015-16.MEDA has not considered GEC submitted by obligated entity.</t>
  </si>
  <si>
    <t>As per report submitted by entity vide its letter dated 17.04.2017, Entity is obligated under RPO in OA consumer category for FY 2016-17.MEDA has considered GEC submitted by obligated entity.</t>
  </si>
  <si>
    <t xml:space="preserve">Entity vide ts letter dated 10.08.2015 submitted the RPO data and RE/REC Procurement details. Entity has fulfilled the RPO by procuring S / NS RECs. MEDA has  not considered GEC submitted by obligated entity. </t>
  </si>
  <si>
    <t xml:space="preserve">Entity vide Its letter dated 18/05/2015 submitted the RPO data . Entity has fulfilled the RPO by procuring S / NS RECs. MEDA has not considered GEC submitted by obligated entity. </t>
  </si>
  <si>
    <t>As per report submitted by entity vide its letter dated 02.11.2015,08.02.2016 &amp; 06.04.2016 Entity is obligated under RPO in OA consumer category for FY 2015-16.MEDA has considered GEC as per the report submitted by MSEDCL and not considered GEC submitted by obligated entity.</t>
  </si>
  <si>
    <t>As per report submitted by entity vide its letter dated 05.04.2017, Entity is obligated under RPO in OA consumer category for FY 2016-17.MEDA has not considered GEC submitted by obligated entity.</t>
  </si>
  <si>
    <t>As per report submitted by entity vide its letter dated 30.04.2016 7 04.08.2018, Entity is obligated under RPO in OA consumer category for FY 2015-16.MEDA has not considered GEC submitted by obligated entity.</t>
  </si>
  <si>
    <t>As per report submitted by entity vide its letter dated 30.03.2018, Entity is obligated under RPO in OA consumer category for FY 2016-17.MEDA has not considered GEC submitted by obligated entity.</t>
  </si>
  <si>
    <t>As per report submitted by entity vide its letter dated 28.06.2016,16.08.2016 Entity is obligated under RPO in OA consumer category for FY 2015-16.MEDA has  not considered GEC submitted by obligated entity.</t>
  </si>
  <si>
    <t>As per report submitted by entity vide its letter dated 06.04.2017, Entity is obligated under RPO in OA consumer category for FY 2016-17.MEDA has not considered GEC submitted by obligated entity.</t>
  </si>
  <si>
    <t>As per report submitted by entity vide its letter dated 16.08.2016 Entity is obligated under RPO in OA consumer category for FY 2015-16.MEDA has  not considered GEC submitted by obligated entity.</t>
  </si>
  <si>
    <t>As per report submitted by entity vide its letter dated 12.08.2016, Entity is obligated under RPO in OA consumer category for FY 2015-16.MEDA has not considered GEC submitted by obligated entity.</t>
  </si>
  <si>
    <t>As per report submitted by entity vide its letter dated 18.08.2016, Entity is obligated under RPO in OA consumer category for FY 2015-16.MEDA has not considered GEC submitted by obligated entity.</t>
  </si>
  <si>
    <t>As per report submitted by entity vide its letter dated 14.04.2017 Entity is obligated under RPO in OA consumer category for FY 2015-16.MEDA has not considered GEC submitted by obligated entity.</t>
  </si>
  <si>
    <t xml:space="preserve">Entity vide its letter dated 30.04.2015 submitted the RPO data and RE/REC Procurement details. Entity has fulfilled the RPO by procuring S / NS RECs. MEDA has not considered GEC submitted by obligated entity. </t>
  </si>
  <si>
    <t>As per report submitted by entity vide its letter dated 16.08.2018 Entity is obligated under RPO in OA consumer category for FY 2015-16.MEDA has  not considered GEC submitted by obligated entity.</t>
  </si>
  <si>
    <t>As per report submitted by entity vide its letter dated 08.07.2016, Entity is obligated under RPO in OA consumer category for FY 2015-16.MEDA has not considered GEC submitted by obligated entity.</t>
  </si>
  <si>
    <t>As per report submitted by entity vide its letter dated 19.08.2016 Entity is obligated under RPO in OA consumer category for FY 2015-16.MEDA has not considered GEC submitted by obligated entity.</t>
  </si>
  <si>
    <t>As per report submitted by entity vide its letter dated 20.08.2016, Entity is obligated under RPO in OA consumer category for FY 2015-16.MEDA has not considered GEC submitted by obligated entity.</t>
  </si>
  <si>
    <t>As per report submitted by entity vide its letter dated 16.08.2016, Entity is obligated under RPO in OA consumer category for FY 2015-16.MEDA has considered GEC as per the report submitted by MSEDCL and not considered GEC submitted by obligated entity.</t>
  </si>
  <si>
    <t xml:space="preserve">Entity vide ts letter dated 30.04.2015 submitted the RPO data and RE Procurement details. Entity has fulfilled the RPO by procuring S / NS RECs. MEDA has  not considered GEC submitted by obligated entity. </t>
  </si>
  <si>
    <t>As per report submitted by entity vide its letter dated 16.08.2017 Entity is obligated under RPO in OA consumer category for FY 2015-16.MEDA has  not considered GEC submitted by obligated entity.</t>
  </si>
  <si>
    <t>As per report submitted by entity vide its letter dated 31.05.2016, Entity is obligated under RPO in OA consumer category for FY 2015-16.MEDA has  not considered GEC submitted by obligated entity.</t>
  </si>
  <si>
    <t>As per report submitted by entity vide its letter dated 20.08.2016, Entity is obligated under RPO in OA consumer category for FY 2015-16.MEDA has considered GEC as per the report submitted by MSEDCL and not considered GEC submitted by obligated entity.</t>
  </si>
  <si>
    <t xml:space="preserve">Entity vide its letter 30.04.2015 dated submitted the RPO data and RE Procurement details. Entity has fulfilled the RPO by procuring S / NS RECs. MEDA has not considered GEC submitted by obligated entity. </t>
  </si>
  <si>
    <t xml:space="preserve">Entity vide its letter dated 30.10.2015 submitted the RPO data and RE/REC Procurement details. Entity has fulfilled the RPO by procuring S / NS RECs. MEDA has not considered GEC submitted by obligated entity. </t>
  </si>
  <si>
    <t>As per report submitted by entity vide its letter dated 06.04.2017 &amp; 23.08.2016 Entity is obligated under RPO in OA consumer category for FY 2015-16.MEDA has not considered GEC submitted by obligated entity.</t>
  </si>
  <si>
    <t xml:space="preserve">Entity vide ts letter dated 30.10.2015 submitted the RPO data and RE Procurement details. Entity has partially fulfilled the RPO by procuring S / NS RECs. MEDA has  not considered GEC submitted by obligated entity. </t>
  </si>
  <si>
    <t>As per report submitted by entity vide its letter dated 03.05.2016,16.08.2016 Entity is obligated under RPO in OA consumer category for FY 2015-16.MEDA has not considered GEC submitted by obligated entity.</t>
  </si>
  <si>
    <t xml:space="preserve">Entity vide Its letter dated 30/10/2015 submitted the RPO data . Entity has fulfilled the RPO by procuring S / NS RECs. MEDA has not considered GEC submitted by obligated entity. </t>
  </si>
  <si>
    <t xml:space="preserve">Entity vide ts letter dated 25.05.2015 submitted the RPO data and RE Procurement details. Entity has fulfilled the RPO by procuring S / NS RECs. MEDA has  not considered GEC submitted by obligated entity. </t>
  </si>
  <si>
    <t>As per report submitted by entity vide its letter dated 27.08.2015,23.08.2016 &amp; 30.10.2015 Entity is obligated under RPO in OA consumer category for FY 2015-16.MEDA has not considered GEC submitted by obligated entity.</t>
  </si>
  <si>
    <t>As per report submitted by entity vide its letter dated 21.08.2015 &amp; 30.05.2016, Entity is obligated under RPO in OA consumer category for FY 2015-16.MEDA has not considered GEC submitted by obligated entity.</t>
  </si>
  <si>
    <t>As per report submitted by entity vide its letter dated 19.04.2017 Entity is obligated under RPO in OA consumer category for FY 2015-16.MEDA has not considered GEC submitted by obligated entity.</t>
  </si>
  <si>
    <t xml:space="preserve">Entity vide Its letter dated 30/10/2015 submitted the RPO data . Entity has fulfilled the RPO by procuring S / NS RECs. MEDA has  not considered GEC submitted by obligated entity. </t>
  </si>
  <si>
    <t>As per report submitted by entity vide its letter dated 30.06.2017 Entity is obligated under RPO in OA consumer category for FY 2015-16.MEDA has not considered GEC submitted by obligated entity.</t>
  </si>
  <si>
    <t>As per report submitted by entity vide its letter dated 13.05.2017 Entity is obligated under RPO in OA consumer category for FY 2015-16.MEDA has not considered GEC submitted by obligated entity.</t>
  </si>
  <si>
    <t xml:space="preserve">Entity vide its letter dated 30.10.2015 submitted the RPO data but RE Procurement details not submitted. Entity has not fulfilled the RPO for FY 2014-15. MEDA has  not considered GEC submitted by obligated entity. </t>
  </si>
  <si>
    <t>As per report submitted by entity vide its letter dated 23.06.2016 &amp; 18.08.2016, Entity is obligated under RPO in OA consumer category for FY 2015-16.MEDA has not considered GEC submitted by obligated entity.</t>
  </si>
  <si>
    <t>As per report submitted by entity vide its letter dated 24.04.2017 Entity is obligated under RPO in OA consumer category for FY 2015-16.MEDA has not considered GEC submitted by obligated entity.</t>
  </si>
  <si>
    <t xml:space="preserve">Entity vide ts letter dated 27.06.2015 submitted the RPO data and RE Procurement details. Entity has fulfilled the RPO by procuring S / NS RECs. MEDA has not considered GEC submitted by obligated entity. </t>
  </si>
  <si>
    <t>As per report submitted by entity vide its letter dated 17.08.2016 Entity is obligated under RPO in OA consumer category for FY 2015-16.MEDA has  not considered GEC submitted by obligated entity.</t>
  </si>
  <si>
    <t xml:space="preserve">Entity vide ts letter dated 26.06.2015 submitted the RPO data and RE/REC Procurement details.Entity has fulfilled the RPO by procuring S / NS RECs. MEDA has not considered GEC submitted by obligated entity. </t>
  </si>
  <si>
    <t>As per report submitted by entity vide its letter dated 05.06.2017, Entity is obligated under RPO in OA consumer category for FY 2016-17.MEDA has not considered GEC submitted by obligated entity.</t>
  </si>
  <si>
    <t xml:space="preserve">Entity vide its letter dated 08.08.2017 submitted the RPO data and RE/REC Procurement details. Entity has fulfilled the RPO by procuring S / NS RECs. MEDA has not considered GEC submitted by obligated entity. </t>
  </si>
  <si>
    <t>As per report submitted by entity vide its letter dated 08.08.2017 Entity is obligated under RPO in OA consumer category for FY 2015-16.MEDA has considered GEC as per the report submitted by MSEDCL and not considered GEC submitted by obligated entity.</t>
  </si>
  <si>
    <t>As per report submitted by entity vide its e-mail dated 15.07.2019, Entity is obligated under RPO in OA consumer category for FY 2016-17.MEDA has  not considered GEC submitted by obligated entity.</t>
  </si>
  <si>
    <t>As per report submitted by entity vide its letter dated 13.05.2016, Entity is obligated under RPO in OA consumer category for FY 2015-16.MEDA has not considered GEC submitted by obligated entity.</t>
  </si>
  <si>
    <t>As per report submitted by entity vide its letter dated 22.11.2017, Entity is obligated under RPO in OA consumer category for FY 2016-17.MEDA has not considered GEC submitted by obligated entity.</t>
  </si>
  <si>
    <t>As per report submitted by entity vide its letter dated 18.08.2016, Entity is obligated under RPO in OA consumer category for FY 2015-16.MEDA has notconsidered GEC submitted by obligated entity.</t>
  </si>
  <si>
    <t>As per report submitted by entity vide its letter dated 26.08.2016 Entity is obligated under RPO in OA consumer category for FY 2015-16.MEDA has not considered GEC submitted by obligated entity.</t>
  </si>
  <si>
    <t>As per report submitted by entity vide its letter dated 27.08.2016 Entity is obligated under RPO in OA consumer category for FY 2015-16.MEDA has not considered GEC submitted by obligated entity.</t>
  </si>
  <si>
    <t>As per report submitted by entity vide its letter dated 05.08.2016 &amp; 22.08.2016 , Entity is obligated under RPO in OA consumer category for FY 2015-16.MEDA has not considered GEC submitted by obligated entity.</t>
  </si>
  <si>
    <t>As per report submitted by entity vide its letter dated 24.04.2017 &amp; 27.03.2018, Entity is obligated under RPO in OA consumer category for FY 2016-17.MEDA has not considered GEC submitted by obligated entity.</t>
  </si>
  <si>
    <t>As per report submitted by entity vide its letter dated 08.08.2016, Entity is obligated under RPO in OA consumer category for FY 2015-16.MEDA has not considered GEC submitted by obligated entity.</t>
  </si>
  <si>
    <t>As per report submitted by entity vide its letter dated 04.03.2016 &amp; 11.04.2016.  Entity is obligated under RPO in OA consumer category for FY 2015-16.MEDA has not considered GEC submitted by obligated entity.</t>
  </si>
  <si>
    <t>As per report submitted by entity vide its e-mail  dated 02.06.2018, Entity is obligated under RPO in OA consumer category for FY 2016-17. MEDA has not considered GEC submitted by obligated entity.</t>
  </si>
  <si>
    <t xml:space="preserve">Entity vide ts letter dated 12.08.2015, 02.05.2015 submitted the RPO data but RE Procurement details not submitted. MEDA has not considered GEC submitted by obligated entity. </t>
  </si>
  <si>
    <t xml:space="preserve">Entity vide its letter dated 01.12.2015 submitted the RPO data and RE/REC Procurement details. Entity has fulfilled the RPO by procuring S / NS RECs. MEDA has not considered GEC submitted by obligated entity. </t>
  </si>
  <si>
    <t>As per report submitted by entity vide its letter dated 24.08.2016 Entity is obligated under RPO in OA consumer category for FY 2015-16.MEDA has  not considered GEC submitted by obligated entity.</t>
  </si>
  <si>
    <t>As per report submitted by entity vide its letter dated 24.08.2016 Entity is obligated under RPO in OA consumer category for FY 2015-16.MEDA has not considered GEC submitted by obligated entity.</t>
  </si>
  <si>
    <t>As per report submitted by entity vide its letter dated 15.04.2017, Entity is obligated under RPO in OA consumer category for FY 2016-17.MEDA has considered GEC as per the report submitted by MSEDCL and not considered GEC submitted by obligated entity.</t>
  </si>
  <si>
    <t>As per report submitted by entity vide its letter dated 11.08.2016, Entity is obligated under RPO in OA consumer category for FY 2015-16.MEDA has not considered GEC submitted by obligated entity.</t>
  </si>
  <si>
    <t>As per report submitted by entity vide its letter dated 11.08.2016, Entity is obligated under RPO in OA consumer category for FY 2015-16.MEDA has considered GEC as per the report submitted by MSEDCL and not considered GEC submitted by obligated entity.</t>
  </si>
  <si>
    <t>As per report submitted by entity vide its letter dated  02.02.2017, Entity is obligated under RPO in OA consumer category for FY 2016-17.MEDA has not considered GEC submitted by obligated entity.</t>
  </si>
  <si>
    <t>As per report submitted by entity vide its letter dated 29.09.2016, 06.12.2016,25.02.2017&amp; 12.05.2017, Entity is obligated under RPO in OA consumer category for FY 2016-17.MEDA has  not considered GEC submitted by obligated entity.</t>
  </si>
  <si>
    <t xml:space="preserve">Entity vide its letter dated 31.10.2015 submitted the RPO data but RE Procurement details not submitted. Entity has partially fulfilled the RPO for FY 2014-15. MEDA has not considered GEC submitted by obligated entity. </t>
  </si>
  <si>
    <t>As per report submitted by entity vide its letter dated 12.07.2019 Entity is obligated under RPO in OA consumer category for FY 2015-16.MEDA has  not considered GEC submitted by obligated entity.</t>
  </si>
  <si>
    <t xml:space="preserve">Entity vide its letter dated 31.10.2015 submitted the RPO data and RE/REC Procurement details. Entity has fulfilled the RPO by procuring S / NS RECs. MEDA has not considered GEC submitted by obligated entity. </t>
  </si>
  <si>
    <t>As per report submitted by entity vide its letter dated 13.04.2017 Entity is obligated under RPO in OA consumer category for FY 2015-16.MEDA has not considered GEC submitted by obligated entity.</t>
  </si>
  <si>
    <t>As per report submitted by entity vide its letter dated 13.04.2017 &amp; 30.04.2019  Entity is obligated under RPO in OA consumer category for FY 2016-17.MEDA has not considered GEC submitted by obligated entity.</t>
  </si>
  <si>
    <t>As per report submitted by entity vide its letter dated 28.03.2018, Entity is obligated under RPO in OA consumer category for FY 2016-17.MEDA has not considered GEC submitted by obligated entity.</t>
  </si>
  <si>
    <t xml:space="preserve">Entity vide its letter dated 27.03.2015 submitted the RPO data and RE/REC Procurement details not submitted. MEDA has not considered GEC submitted by obligated entity. </t>
  </si>
  <si>
    <t>As per report submitted by entity vide its letter dated 21.11.2018 Entity is obligated under RPO in OA consumer category for FY 2015-16.MEDA has  not considered GEC submitted by obligated entity.</t>
  </si>
  <si>
    <t>As per report submitted by entity vide its letter dated 21.11.2018, Entity is obligated under RPO in OA consumer category for FY 2016-17. MEDA has not considered GEC submitted by obligated entity.</t>
  </si>
  <si>
    <t>As per report submitted by entity vide its letter dated 25.06.2016 Entity is obligated under RPO in OA consumer category for FY 2015-16.MEDA has not considered GEC submitted by obligated entity.</t>
  </si>
  <si>
    <t>As per report submitted by entity vide its letter dated 31.07.2017, Entity is obligated under RPO in OA consumer category for FY 2016-17.MEDA has  not considered GEC submitted by obligated entity.</t>
  </si>
  <si>
    <t>As per report submitted by entity vide its letter dated 21.07.2017, Entity is obligated under RPO in OA consumer category for FY 2016-17.MEDA has not considered GEC submitted by obligated entity.</t>
  </si>
  <si>
    <t xml:space="preserve">Entity vide ts letter dated 07.12.2017 submitted the RPO data and RE/RECs  Procurement details. Entity has fulfilled the RPO by procuring S / NS RECs. MEDA has not considered GEC submitted by obligated entity. </t>
  </si>
  <si>
    <t>As per report submitted by entity vide its letter dated 07.12.2017 Entity is obligated under RPO in OA consumer category for FY 2015-16.MEDA has not considered GEC submitted by obligated entity.</t>
  </si>
  <si>
    <t>As per report submitted by entity vide its letter dated 26.07.2016 Entity is obligated under RPO in OA consumer category for FY 2015-16.MEDA has  not considered GEC submitted by obligated entity.</t>
  </si>
  <si>
    <t>As per report submitted by entity vide its letter dated 06.08.2016, Entity is obligated under RPO in OA consumer category for FY 2015-16.MEDA has  not considered GEC submitted by obligated entity.</t>
  </si>
  <si>
    <t>As per report submitted by entity vide its letter dated 28.03.2016 &amp; 08.08.2016, Entity is obligated under RPO in OA consumer category for FY 2015-16.MEDA has not considered GEC submitted by obligated entity.</t>
  </si>
  <si>
    <t>As per report submitted by entity vide its letter dated 03.10.2016, Entity is obligated under RPO in OA consumer category for FY 2016-17.Entity has submitted report up to Q-II. MEDA has considered GEC as per the report submitted by MSEDCL and not considered GEC submitted by obligated entity.</t>
  </si>
  <si>
    <t>As per report submitted by entity vide its letter dated 04.04.2017 Entity is obligated under RPO in OA consumer category for FY 2015-16.MEDA has not considered GEC submitted by obligated entity.</t>
  </si>
  <si>
    <t>As per report submitted by entity vide its letter dated 04.04.2017 Entity is obligated under RPO in OA consumer category for FY 2015-16.MEDA has  not considered GEC submitted by obligated entity.</t>
  </si>
  <si>
    <t>As per report submitted by entity vide its letter dated 07.04.2018, Entity is obligated under RPO in OA consumer category for FY 2016-17.Entity have purchased surplus RECs.MEDA has d not considered GEC submitted by obligated entity.</t>
  </si>
  <si>
    <t>As per report submitted by entity vide its letter dated 19.08.2016, Entity is obligated under RPO in OA consumer category for FY 2015-16.MEDA has considered GEC as per the report submitted by MSEDCL and not considered GEC submitted by obligated entity.</t>
  </si>
  <si>
    <t>As per report submitted by entity vide its letter dated 19.04.2017 Entity is obligated under RPO in OA consumer category for FY 2015-16.MEDA has considered GEC as per the report submitted by MSEDCL and not considered GEC submitted by obligated entity.</t>
  </si>
  <si>
    <t>As per report submitted by entity vide its letter dated 05.08.2016, Entity is obligated under RPO in OA consumer category for FY 2015-16.MEDA has not considered GEC submitted by obligated entity.</t>
  </si>
  <si>
    <t xml:space="preserve">Entity vide Its letter dated 03.11.2015 submitted the RPO data . Entity has fulfilled the RPO by procuring  S / NS RECs. MEDA has not considered GEC submitted by obligated entity. </t>
  </si>
  <si>
    <t>As per report submitted by entity vide its letter dated 15.05.2016, Entity is obligated under RPO in OA consumer category for FY 2015-16.MEDA has not considered GEC submitted by obligated entity.</t>
  </si>
  <si>
    <t>As per report submitted by entity vide its letter inward dated 24.04.2017, Entity is obligated under RPO in OA consumer category for FY 2016-17.MEDA has not considered GEC submitted by obligated entity.</t>
  </si>
  <si>
    <t xml:space="preserve">Entity vide its letter dated 03.11.2015 submitted the RPO data and REC Procurement details. Entity has partially fulfilled the RPO by procuring S / NS RECs. MEDA has not considered GEC submitted by obligated entity. </t>
  </si>
  <si>
    <t>As per report submitted by entity vide its letter dated 17.07.2015,13.10.2015 ,14.01.2016 &amp; 21.04.2016, Entity is obligated under RPO in OA consumer category for FY 2015-16.MEDA has  considered GEC submitted by obligated entity.</t>
  </si>
  <si>
    <t>As per report submitted by entity vide its letter dated 29.04.2017, Entity is obligated under RPO in OA consumer category for FY 2016-17. MEDA has considered GEC submitted by obligated entity.</t>
  </si>
  <si>
    <t>As per report submitted by entity vide its letter dated 20.05.2016 Entity is obligated under RPO in OA consumer category for FY 2015-16.MEDA has considered GEC as per the report submitted by MSEDCL and not considered GEC submitted by obligated entity.</t>
  </si>
  <si>
    <t xml:space="preserve">Entity vide its letter dated 05.04.2015 submitted the RPO data and REC Procurement details. Entity has partially fulfilled the RPO by procuring S / NS RECs. MEDA has not considered GEC submitted by obligated entity. </t>
  </si>
  <si>
    <t>As per report submitted by entity vide its letter dated 21.05.2016, Entity is obligated under RPO in OA consumer category for FY 2015-16.MEDA has not considered GEC submitted by obligated entity.</t>
  </si>
  <si>
    <t xml:space="preserve">Entity vide Its letter dated 29.03.2016 submitted the RPO data . Entity has fulfilled the RPO by procuring RE Power &amp; S / NS RECs. MEDA has considered GEC submitted by obligated entity. </t>
  </si>
  <si>
    <t>As per report submitted by entity vide its letter dated 22.05.2016 Entity is obligated under RPO in OA consumer category for FY 2015-16.MEDA has not considered GEC submitted by obligated entity.</t>
  </si>
  <si>
    <t xml:space="preserve">Entity vide ts letter dated 24.04.2015 submitted the RPO data and RE Procurement details. Entity has fulfilled the RPO by procuring S / NS RECs. MEDA has not considered GEC submitted by obligated entity. </t>
  </si>
  <si>
    <t>As per report submitted by entity vide its letter dated 05.05.2016, Entity is obligated under RPO in OA consumer category for FY 2015-16.MEDA has not considered GEC submitted by obligated entity.</t>
  </si>
  <si>
    <t>As per report submitted by entity vide its letter dated 14.07.2017, Entity is obligated under RPO in OA consumer category for FY 2016-17.MEDA has not considered GEC submitted by obligated entity.</t>
  </si>
  <si>
    <t xml:space="preserve">Entity vide Its letter dated 22.04.2014 submitted the RPO data . Entity has fulfilled the RPO by procuring S / NS RECs. MEDA has not considered GEC submitted by obligated entity. </t>
  </si>
  <si>
    <t>As per report submitted by entity vide its letter dated 22.08.2016 Entity is obligated under RPO in OA consumer category for FY 2015-16.MEDA has not considered GEC submitted by obligated entity.</t>
  </si>
  <si>
    <t>As per report submitted by entity vide its letter dated 19.08.2016, Entity is obligated under RPO in OA consumer category for FY 2015-16.MEDA has not considered GEC submitted by obligated entity.</t>
  </si>
  <si>
    <t>As per report submitted by entity vide its letter dated 27.02.2019 Entity is obligated under RPO in OA consumer category for FY 2015-16.MEDA has not considered GEC submitted by obligated entity.</t>
  </si>
  <si>
    <t>As per report submitted by entity vide its letter dated 27.02.2019 Entity is obligated under RPO in OA consumer category for FY 2015-16.MEDA has considered GEC as per the report submitted by TPC-D and not considered GEC submitted by obligated entity.</t>
  </si>
  <si>
    <t>As per report submitted by entity vide its letter dated 13.10.2016, Entity is obligated under RPO in OA consumer category for FY 2015-16.MEDA has not considered GEC submitted by obligated entity.</t>
  </si>
  <si>
    <t>As per report submitted by entity vide its letter dated 17.08.2016 Entity is obligated under RPO in OA consumer category for FY 2015-16.MEDA has considered GEC as per the report submitted by MSEDCL and not considered GEC submitted by obligated entity.</t>
  </si>
  <si>
    <t>As per report submitted by entity vide its letter dated 19.07.2016 &amp; 18.08.2016.  Entity is obligated under RPO in OA consumer category for FY 2015-16.MEDA has not considered GEC submitted by obligated entity.</t>
  </si>
  <si>
    <t xml:space="preserve">Entity vide Its letter dated 30.04.2015 submitted the RPO data . Entity has fulfilled the RPO by procuring  S / NS RECs. MEDA has considered GEC submitted by obligated entity. </t>
  </si>
  <si>
    <t xml:space="preserve">Entity vide its letter 30.11.2015 dated submitted the RPO data and RE Procurement details. Entity has fulfilled the RPO by procuring S / NS RECs. MEDA has  considered GEC submitted by obligated entity. </t>
  </si>
  <si>
    <t>As per report submitted by entity vide its letter dated 30.06.2016 Entity is obligated under RPO in OA consumer category for FY 2015-16.MEDA has not considered GEC submitted by obligated entity.</t>
  </si>
  <si>
    <t xml:space="preserve">Entity vide its letter dated 30.04.2015 submitted the RPO data and RE Procurement details. Entity has fulfilled the RPO by procuring S / NS RECs.MEDA has not considered GEC submitted by obligated entity. </t>
  </si>
  <si>
    <t xml:space="preserve">Entity vide its letter 18.12.2015 dated submitted the RPO data and RE Procurement details. Entity has fulfilled the RPO by procuring S / NS RECs. MEDA has not considered GEC submitted by obligated entity. </t>
  </si>
  <si>
    <t>As per report submitted by entity vide its letter dated 13.06.2018, Entity is obligated under RPO in OA consumer category for FY 2016-17. MEDA has not considered GEC submitted by obligated entity.</t>
  </si>
  <si>
    <t xml:space="preserve">Entity vide Its letter dated 28.10.2015 submitted the RPO data . Entity has fulfilled the partly RPO by procuring S / NS RECs. MEDA has  not considered GEC submitted by obligated entity. </t>
  </si>
  <si>
    <t>As per report submitted by entity vide its letter dated 05.07.2016, Entity is obligated under RPO in OA consumer category for FY 2015-16.MEDA has not considered GEC submitted by obligated entity.</t>
  </si>
  <si>
    <t xml:space="preserve">Entity vide its letter 30.10.2015 dated submitted the RPO data and RE Procurement details. Entity has fulfilled the RPO by procuring S / NS RECs. MEDA has not considered GEC submitted by obligated entity. </t>
  </si>
  <si>
    <t>As per report submitted by entity vide its letter dated 13.04.2017 Entity is obligated under RPO in OA consumer category for FY 2015-16.MEDA has  not considered GEC submitted by obligated entity.</t>
  </si>
  <si>
    <t xml:space="preserve">Entity vide its letter 30.10.2015 dated submitted the RPO data and RE/REC Procurement details. Entity has fulfilled the RPO by procuring S / NS RECs. MEDA has not considered GEC submitted by obligated entity. </t>
  </si>
  <si>
    <t xml:space="preserve">Entity vide its letter dated 30.10.2015 has not submitted RPO data in specified formats. Also, RE procurement details not submitted. MEDA has not considered GEC submitted by obligated entity. </t>
  </si>
  <si>
    <t>As per report submitted by entity vide its letter dated 26.08.2016, Entity is obligated under RPO in OA consumer category for FY 2015-16.MEDA has not considered GEC submitted by obligated entity.</t>
  </si>
  <si>
    <t>As per report submitted by entity vide its letter dated 31.05.2018, Entity is obligated under RPO in OA consumer category for FY 2016-17.MEDA has  not considered GEC submitted by obligated entity.</t>
  </si>
  <si>
    <t>As per report submitted by entity vide its letter dated 18.08.2016 Entity is obligated under RPO in OA consumer category for FY 2015-16.MEDA has not considered GEC submitted by obligated entity.</t>
  </si>
  <si>
    <t>As per report submitted by entity vide its letter dated 24.04.2018 &amp; 30.07.2019, Entity is obligated under RPO in OA consumer category for FY 2016-17. MEDA has not considered GEC submitted by obligated entity.</t>
  </si>
  <si>
    <t xml:space="preserve">Entity vide its letter dated 23.12.2015 submitted the RPO data and RE/REC Procurement details. Entity has fulfilled the RPO by procuring S / NS RECs. MEDA has  not considered GEC submitted by obligated entity. </t>
  </si>
  <si>
    <t xml:space="preserve">Entity vide Its letter dated 29.03.2016 submitted the RPO data . Entity has fulfilled the RPO by procuring S / NS RECs. MEDA has not considered GEC submitted by obligated entity. </t>
  </si>
  <si>
    <t>As per report submitted by entity vide its letter dated 18.08.2016, Entity is obligated under RPO in OA consumer category for FY 2015-16.MEDA has  not considered GEC submitted by obligated entity.</t>
  </si>
  <si>
    <t xml:space="preserve">Entity vide ts letter dated 27.03.2015 submitted the RPO data and RE Procurement details upto IIIrd qtr only for FY 2014-15. Entity has fulfilled the RPO by procuring S / NS RECs. MEDA has not considered GEC submitted by obligated entity. </t>
  </si>
  <si>
    <t>As per report submitted by entity vide its letter dated 19.08.2017 Entity is obligated under RPO in OA consumer category for FY 2015-16.MEDA has considered GEC as per the report submitted by MSEDCL and not considered GEC submitted by obligated entity.</t>
  </si>
  <si>
    <t>As per report submitted by entity vide its letter dated 09.08.2016, Entity is obligated under RPO in OA consumer category for FY 2015-16.MEDA has not considered GEC submitted by obligated entity.</t>
  </si>
  <si>
    <t>As per report submitted by entity vide its letter dated 29.04.2017, Entity is obligated under RPO in OA consumer category for FY 2016-17.Entity has submitted REC Certificates (Solar 64 nos,176 nos &amp; 125 nos) (Non-solar 640 nos,1775 nos &amp; 1244 nos). MEDA has considered GEC as per the report submitted by MSEDCL and not considered GEC submitted by obligated entity.</t>
  </si>
  <si>
    <t>As per report submitted by entity vide its letter dated 13.08.2016, Entity is obligated under RPO in OA consumer category for FY 2015-16.MEDA has considered GEC as per the report submitted by MSEDCL and not considered GEC submitted by obligated entity.</t>
  </si>
  <si>
    <t xml:space="preserve">Entity vide its letter 17/11/2015 dated submitted the RPO data and RE/REC Procurement details. Entity has fulfilled the RPO by procuring S / NS RECs. MEDA has not considered GEC submitted by obligated entity. </t>
  </si>
  <si>
    <t>As per report submitted by entity vide its letter dated 04.05.2018, Entity is obligated under RPO in OA consumer category for FY 2016-17.MEDA has considered GEC as per the report submitted by MSEDCL and not considered GEC submitted by obligated entity.</t>
  </si>
  <si>
    <t>As per report submitted by entity vide its letter dated 17.08.2016, Entity is obligated under RPO in OA consumer category for FY 2015-16.MEDA has  not considered GEC submitted by obligated entity.</t>
  </si>
  <si>
    <t>As per report submitted by entity vide its letter dated 22.08.2016 &amp; 01.09.2016 Entity is obligated under RPO in OA consumer category for FY 2015-16.MEDA has not considered GEC submitted by obligated entity.</t>
  </si>
  <si>
    <t>As per report submitted by entity vide its letter dated 18.12.2018 Entity is obligated under RPO in OA consumer category for FY 2015-16.MEDA has not considered GEC submitted by obligated entity.</t>
  </si>
  <si>
    <t>As per report submitted by entity vide its letter dated 18.05.2017 &amp; 03.07.2019, Entity is obligated under RPO in OA consumer category for FY 2016-17. MEDA has not considered GEC submitted by obligated entity.</t>
  </si>
  <si>
    <t xml:space="preserve">Entity vide its letter 3.11.2015 dated submitted the RPO data but RE Procurement details not submitted. Entity has not fulfilled the RPO. MEDA has not considered GEC submitted by obligated entity. </t>
  </si>
  <si>
    <t xml:space="preserve">Entity vide its letter 30.12.2015 dated submitted the RPO data and RE Procurement details. Entity has fulfilled the RPO by procuring S / NS RECs. MEDA has not considered GEC submitted by obligated entity. </t>
  </si>
  <si>
    <t>As per report submitted by entity vide its letter dated 21.04.2017 Entity is obligated under RPO in OA consumer category for FY 2015-16.MEDA has not considered GEC submitted by obligated entity.</t>
  </si>
  <si>
    <t>As per report submitted by entity vide its letter dated 06.08.2016, Entity is obligated under RPO in OA consumer category for FY 2015-16.MEDA has not considered GEC submitted by obligated entity.</t>
  </si>
  <si>
    <t xml:space="preserve">Entity vide Its letter dated 09.02.2016 submitted the RPO data . Entity has fulfilled the partly RPO by procuring S / NS RECs. MEDA has not considered GEC submitted by obligated entity. </t>
  </si>
  <si>
    <t>As per report submitted by entity vide its letter dated 17.06.2016 Entity is obligated under RPO in OA consumer category for FY 2015-16.MEDA has  not considered GEC submitted by obligated entity.</t>
  </si>
  <si>
    <t>Entity mentioned in its letter dated 07.07.2016 they having obligation in OA category but,only REC certificates submitted &amp; GEC is not submitted .So entitiy is consider under RPO in OA consumer category for FY 2015-16.MEDA has considered GEC as per the report submitted by MSEDCL.</t>
  </si>
  <si>
    <t xml:space="preserve">Entity vide ts letter dated 09.04.2017 submitted the RPO data and RE Procurement details. Entity has fulfilled the RPO by procuring S / NS RECs. MEDA has not considered GEC submitted by obligated entity. </t>
  </si>
  <si>
    <t>As per report submitted by entity vide its letter dated 04.02.2016 &amp; 02.05.2016, Entity is obligated under RPO in OA consumer category for FY 2015-16.MEDA has considered GEC submitted by obligated entity.</t>
  </si>
  <si>
    <t>As per report submitted by entity vide its letter dated 10.04.2018, Entity is obligated under RPO in OA consumer category for FY 2016-17. MEDA has  not considered GEC submitted by obligated entity.</t>
  </si>
  <si>
    <t>As per report submitted by entity vide its letter dated 20.04.2016, Entity is obligated under RPO in OA consumer category for FY 2015-16.MEDA has considered GEC as per the report submitted by MSEDCL and not considered GEC submitted by obligated entity.</t>
  </si>
  <si>
    <t>As per report submitted by entity vide its letter dated 12.06.2017, Entity is obligated under RPO in OA consumer category for FY 2016-17.MEDA has not considered GEC submitted by obligated entity.</t>
  </si>
  <si>
    <t xml:space="preserve">Entity vide its letter 30.04.2015 dated submitted the RPO data and RE/REC Procurement details. Entity has fulfilled the RPO by procuring S / NS RECs. MEDA has not considered GEC submitted by obligated entity. </t>
  </si>
  <si>
    <t xml:space="preserve">Entity vide ts letter dated 30.05.2015 submitted the RPO data and RE Procurement details. Entity has fulfilled the RPO by procuring S / NS RECs. MEDA has not considered GEC submitted by obligated entity. </t>
  </si>
  <si>
    <t>As per report submitted by entity vide its letter dated 28.04.2017 &amp; 19.04.2017 Entity is obligated under RPO in OA consumer category for FY 2015-16.MEDA has not considered GEC submitted by obligated entity.</t>
  </si>
  <si>
    <t>As per report submitted by entity vide its letter dated 26.05.2016, Entity is obligated under RPO in OA consumer category for FY 2015-16.MEDA has not considered GEC submitted by obligated entity.</t>
  </si>
  <si>
    <t>As per report submitted by entity vide its letter dated 02.05.2017, Entity is obligated under RPO in OA consumer category for FY 2016-17.Entity has submitted REC Certificates (Solar 44 nos &amp; 31 nos) (Non-solar 439 nos &amp; 306 nos).MEDA has considered GEC as per the report submitted by MSEDCL and not considered GEC submitted by obligated entity.</t>
  </si>
  <si>
    <t>As per report submitted by entity vide its letter dated 15.04.2017, Entity is obligated under RPO in OA consumer category for FY 2016-17. MEDA has considered GEC as per the report submitted by MSEDCL and not considered GEC submitted by obligated entity.</t>
  </si>
  <si>
    <t>As per report submitted by entity vide its letter dated 02.09.2017 Entity is obligated under RPO in OA consumer category for FY 2015-16.MEDA has not considered GEC submitted by obligated entity.</t>
  </si>
  <si>
    <t xml:space="preserve">Entity vide ts letter dated 21.08.2015 submitted the RPO data and RE Procurement details. Entity has partially fulfilled the RPO by procuring S / NS RECs. MEDA has not considered GEC submitted by obligated entity. </t>
  </si>
  <si>
    <t>As per report submitted by entity vide its letter dated 25.06.2016 , Entity is obligated under RPO in OA consumer category for FY 2015-16.MEDA has not considered GEC submitted by obligated entity.</t>
  </si>
  <si>
    <t>As per report submitted by entity vide its letter dated 15.04.2017, Entity is obligated under RPO in OA consumer category for FY 2016-17.MEDA has not considered GEC submitted by obligated entity.</t>
  </si>
  <si>
    <t>As per report submitted by entity vide its letter dated 17.08.2016 Entity is obligated under RPO in OA consumer category for FY 2015-16.MEDA has not considered GEC submitted by obligated entity.</t>
  </si>
  <si>
    <t xml:space="preserve">Entity vide its letter dated 31.10.2015 has not submitted RPO data in specified formats. Also, RE procurement details are not submitted. Contract demand not submitted.MEDA has not considered GEC submitted by obligated entity. </t>
  </si>
  <si>
    <t>As per report submitted by entity vide its letter dated 03.11.2015 &amp; 17.05.2016, Entity is obligated under RPO in OA consumer category for FY 2015-16.MEDA has  not considered GEC submitted by obligated entity.</t>
  </si>
  <si>
    <t>As per report submitted by entity vide its letter dated 13.09.2016 Entity is obligated under RPO in OA consumer category for FY 2015-16.MEDA has not considered GEC submitted by obligated entity.</t>
  </si>
  <si>
    <t xml:space="preserve">Entity vide Its letter dated 02.11.2015 informed they are in progress of complying with  RPO  data ,but til  date MEDA not received  RPO data. MEDA has not considered GEC submitted by obligated entity. </t>
  </si>
  <si>
    <t xml:space="preserve">Capacity &amp; GEC Verified by CEI </t>
  </si>
  <si>
    <t xml:space="preserve">Capacity &amp; GEC taken from CEA certified submitted by  Plant whereas in CEI reported capacity is 30MW and GEC as 464684444 KWh. </t>
  </si>
  <si>
    <t>Capacity &amp; GEC taken from CA certificate submitted by Plant. CEI reported capacity as 7 MW and GEC is 6120000 KWh.</t>
  </si>
  <si>
    <t>During CEI verification entity informed that unit was closed. Further, entity vide its letter dated 30.10.2015 submitted their GEC and capacity.</t>
  </si>
  <si>
    <t>Capacity is verified by CEI. GEC is taken from CA cerificate submitted by plant. CEI in its report mentioned GEC as 170984300 KWh.</t>
  </si>
  <si>
    <t xml:space="preserve">Capacity &amp; GEC taken from CA certificate submitted by Plant. CEI in its report mentioned capacity as 15 MW and GEC as 126249280 KWh. </t>
  </si>
  <si>
    <t xml:space="preserve">Capacity &amp; GEC taken from  report submitted by Plant. CEI in its report mentioned capacity as 74 MW and GEC as 221218625 KWh. </t>
  </si>
  <si>
    <t>Capacity is verified by CEI report. GEC is taken from CA certified submitted by plant. CEI in its report mentioned GEC as 153873 KWh.</t>
  </si>
  <si>
    <t xml:space="preserve">Capacity &amp; GEC is taken from CA certificate submitted by Plant. CEI in its report mentioned capacity as 30 MW and GEC as 154087150 KWh. </t>
  </si>
  <si>
    <t xml:space="preserve">Capacity &amp; GEC is taken from CA certificate submitted by Plan. CEI in its report capacity is mentioned as 7 MW and GEC is 230000 KWh. </t>
  </si>
  <si>
    <t>Capacity is verified by CEI. GEC is taken from CA certificate submitted by Plant. CEI in its report mentioned GEC as 92307 KWh</t>
  </si>
  <si>
    <t>As report submitted by entity through mail dated 13.07.2019 it is under RPO in CPP category for FY 2015-16. It is having 4 MW  waste heat recovery based cogen and 26 MW of AFBC boiler based CPP for third party sale. They claimed that their WHRB based generation is less than 5 MW so not comes under RPO .</t>
  </si>
  <si>
    <t>Capacity &amp; GEC is taken from report submitted by plant. CEI in its report mentioned that entity is closed.</t>
  </si>
  <si>
    <t>Capacity is taken from CEI report. GEC taken from report submitted by plant. CEI in its report mentioned GEC as 296180 Kwh.</t>
  </si>
  <si>
    <t>Capacity &amp; GEC Verified by CEI</t>
  </si>
  <si>
    <t xml:space="preserve">Capacity &amp; GEC is  taken from report submitted by Plant. CEI in its report mentioned capacity as 74.08 MW and GEC as 40214567 KWh. </t>
  </si>
  <si>
    <t>As report submitted by entity through mail dated 12.07.2019 it is under RPO in CPP category for FY 2015-16, the entity has not fulfilled the RPO obligation.</t>
  </si>
  <si>
    <t xml:space="preserve">Capacity  Verified by CEI &amp; GEC is taken from CA certificate submitted by Plant. CEI in its report mentioned GEC as 294860 KWh. </t>
  </si>
  <si>
    <t>data is needed for GEC and RE procurement</t>
  </si>
  <si>
    <t>Entity mentioned in their letter dated 17.04.2017 It is having 85MW CPP,but they have not submitted RPO details.</t>
  </si>
  <si>
    <t xml:space="preserve">Entity mentioned in their letter dated 09.08.2018 &amp;  17.08.2019 it is having Biomass based plant  in ballarpur (Chandrapur) annually generated  110.23 Mus RE power. Entity requested to consider the said RE power for fulfillment of RPO to another unit located at Bhigwan  without wheeling of RE power. </t>
  </si>
  <si>
    <t>entity named is not found in CEI report.  Capacity and  GEC is taken from CA certificate submitted by entity.</t>
  </si>
  <si>
    <t xml:space="preserve">As per report submitted by entity vide its letter dated 21.01.2020, Entity is obligated under RPO in CPP category for FY 2016-17. </t>
  </si>
  <si>
    <t>Capacity is verified by CEI and GEC is taken from CA certificate submitted by plant. CEI in its report mentioned GEC as 244345 MWh.</t>
  </si>
  <si>
    <t xml:space="preserve">Capacity &amp; GEC is taken from CA certificate submitted by Plant. CEI in its report mentioned capacity as 78.69 MW and GEC as 614267180 kWh. </t>
  </si>
  <si>
    <t>As per report submitted by entity vide its letter dated 25.02.2019, Entity is obligated under RPO in CPP category for FY 2017-18 and has fulfilled solar and non solar RPO.(19322 Solar RECs purchased in Jun-2018.Excess 6028 nos. solar RECs are for compliance of FY 2016-17)</t>
  </si>
  <si>
    <t>CEI verification report mentioned that entity has below 5 MW but entity vide its CA certificate reported that its  plant capacity is 23.676 MW</t>
  </si>
  <si>
    <t xml:space="preserve">As per report submitted by entity vide its letter dated 06.04.2018 Entity is obligated under RPO in CPP category for FY 2017-18. Entity has not fulfilled the RPO obligation as they have filed petition No. 69 of 2016 in MERC for amendment of Renewable Purchase Obligation Regulation 2016 so as they requested for exempt captive users of fossil fuel-based co generation plants in RPO. </t>
  </si>
  <si>
    <t xml:space="preserve">Capacity &amp; GEC is taken from CA certificate submitted  by Plant CEI in its report capacity is mentioned as 71 MW and GEC is 360720.62 MWh. </t>
  </si>
  <si>
    <t>Plant is not covered in CEI report</t>
  </si>
  <si>
    <t xml:space="preserve">Entity mentioned in their letter dated 27.08.2018  having Biomass based plant  in ballarpur (Chandrapur) annually generated  200.87 Mus RE power. Entity requested to consider the RE power for fulfillment of RPO to another unit located at Bhigwan  without wheeling  the RE power. </t>
  </si>
  <si>
    <t>Capacity is verified by CEI. GEC is taken from CA certified submitted by plant. CEI in its report mentioned  GEC as 372588.7 MWh.</t>
  </si>
  <si>
    <t xml:space="preserve">Entity mentioned in their letter dated 27.08.2019 having Biomass based plant  in ballarpur (Chandrapur) annually generated  200.87 Mus RE bio-mass, which has been considered for RPO fulfillment.  </t>
  </si>
  <si>
    <t>Plant  is not covered in CEI report</t>
  </si>
  <si>
    <t>Capacity and GEC verified by CEI report</t>
  </si>
  <si>
    <t>Capacityis  verified by CEI. GEC is taken from CA certificate submitted by plant. CEI in its report GEC as 143616.98 MWh.</t>
  </si>
  <si>
    <t>Capacity and GEC verified by CEI report.</t>
  </si>
  <si>
    <t xml:space="preserve">Capacity and GEC verified by CEI report </t>
  </si>
  <si>
    <t>Capacity is verified from CEI report and GEC is taken from CA certificates submitted by plant.  CEI in its report mentioned GEC  as 167.47 Mus</t>
  </si>
  <si>
    <t>As per report submitted by entity vide its letter dated 07.04.2018 Entity has submitted GEC data for FY 2017-18 and also certificate from MESDCL on proof of installed fossil fuel based co-generation plant.</t>
  </si>
  <si>
    <t>Capacity &amp; GEC is taken from CA certificate submitted by Plant. CEI in its report mentioned capacity  as 7 MW</t>
  </si>
  <si>
    <t>Plant is  not covered in CEI report</t>
  </si>
  <si>
    <t xml:space="preserve">As per report submitted by entity vide its letter dated 21.01.2020, Entity is obligated under RPO in CPP category for FY 2017-18. </t>
  </si>
  <si>
    <t>Kindly check GEC</t>
  </si>
  <si>
    <t>In CEI report, plant is below 5 MW whereas plant has installed capacity of about 32.84 (from FY 2016-17 data)</t>
  </si>
  <si>
    <t>Entity is not submitted any report. Entity is obligated under RPO in CPP category for FY 2017-18.</t>
  </si>
  <si>
    <t>Composite RPO target in Mus</t>
  </si>
  <si>
    <t>Capacity &amp; GEC is verified by CEI. GEC/Plant Capacity is taken from CA certificate submitted by plant. CEI in its report mentioned GEC as 380.312MUs &amp; Plant Capacity as 60MW.</t>
  </si>
  <si>
    <t>As per report submitted by entity vide its letter dated 15.04.2019 Entity is obligated under RPO in CPP category for FY 2018-19 and have Partially fulfilled Non solar and Solar RPO.By their e-mail dtd 29.04.2021, they have submitted documents stating that the installation dates of gas turbines are in the years 1984 and 2000.provided supporting documents and the same is considered for commissioning date.</t>
  </si>
  <si>
    <t xml:space="preserve">Capacity &amp; GEC is taken from CA certificate submitted by Plant. CEI in its report mentioned GEC  as 375.023MUs. </t>
  </si>
  <si>
    <t>As per report submitted by entity vide its letter dated 26.08.2019, Entity is obligated under RPO in CPP category for FY 2018-19  and have  fulfilled RPO target.They have  non-solar RE biomass based cogeneration plant with 231.9MUs. MEDA consider their generation for RPO fulfillment(non-solar).Enitity vide their e-mail dtd 22.04.2021 had informed us about their 4 unit commissiong years which are 1974, 1984, 1994 &amp; 2009  with supporting documents &amp; the same is considered for commissioning date.</t>
  </si>
  <si>
    <t>Capacity &amp; GEC is verified by CEI. GEC/Plant Capacity is taken from CA certificate  submitted by plant. CEI in its report mentioned GEC as 65.73MUs &amp; Plant Capacity as 37.5MW.</t>
  </si>
  <si>
    <t>As per report submitted by entity vide its letter dated 26.08.2019, Entity is obligated under RPO in CPP category for FY 2018-19 and have  not fulfilled RPO target.vide their e-mail dtd 16.07.2021 they had informmed about commissioning date as 15.06.1998 &amp; 03.0.2009 with supporting documents &amp; MEDA has considered the same for commissioning date.</t>
  </si>
  <si>
    <t xml:space="preserve">Capacity &amp; GEC is taken CA certifiacate  submitted by Plant. CEI in its report mentioned capacity as 84.220 MW and GEC as 291.467MUs. </t>
  </si>
  <si>
    <t>As per report submitted by entity vide its letter dated 23.05.2019 Entity is obligated under RPO in CPP category for FY 2018-19 and have  partially fulfilled RPO target. Out of 12881 Solar RECs they have utilised 4646 for FY 2017-18 &amp; 2485 for FY 2010-11 to FY 2013-14, similarly out of 94062 Non-solar RECs they have utilised 711 for  FY 2017-18 &amp; 61272 for FY 2010-11 to FY 2013-14.As per their e-mail dtd 22.04.2021, their commencement dates are Oct-1998, Jan-2012 and March-2014 The same are considered for commissioning date.</t>
  </si>
  <si>
    <t xml:space="preserve">Capacity and GEC is  taken from entity submitted report and same taken by MEDA. CEI in its report mentioned the GEC as 296.621MU. </t>
  </si>
  <si>
    <t xml:space="preserve">As per report submitted by entity vide its letter dated 15.07.2019 Entity is obligated under RPO in CPP category for FY 2018-19. Entity submitted incomplete data- capacity of plant not mentioned in their report.. Now, vide their e-mail dtd 23.04.2021 they had provided the supporting documents mentioning their commencement dates as 28.10.1997 and 04.11.2005. The same are considered for commissioning date. </t>
  </si>
  <si>
    <t>Capacity and GEC is verified by CEI. MEDA have taken the CA certified values submitted by entity. CEI in it report mentioned capacity as 10.57MW and GEC as 47.21MUs.</t>
  </si>
  <si>
    <t>Capacity and GEC is verified by CEI. MEDA has taken the values submitted by entity. CEI in its report mentioned capacity as 85MW and GEC as 278.06MUs.</t>
  </si>
  <si>
    <t>As per report submitted by entity vide its letter dated 09.09.2019, Entity is obligated under RPO in CPP category for FY 2018-19.entity claiming that by clarification orders related to RPO by GoI Ministry of Power dtd 01.02.2019 &amp; 08.05.2019, they will submit RPO data on receiving final clarification  As per their e-mail dtd 22.04.2021 they are stating that their date of commissioning is 08.09.2008 and 06.01.2009 with self certified report  &amp; the same are considered for commissioning date.</t>
  </si>
  <si>
    <t>Capacity and GEC is verified by CEI report but MEDA has considered the capacity as per entitys declaration.  The CEI in its report mentioned capacity as 15+3 MWand GEC as 109.795MUs</t>
  </si>
  <si>
    <t>As per report submitted by entity vide its letter dated 09.09.2019 Entity is obligated under RPO in CPP category for FY 2018-19. Entity has not fulfilled the RPO obligation as they are claiming that as per order of case no. 68 of 2019, they have time till March 2020 to fulfil their RPO .By their email dtd. 30.04.2021 they are self certified copy stating their commissioning date as 19.05.2011 for 15MW &amp; the same are for commissioning date.</t>
  </si>
  <si>
    <t>Capacity and GEC verified by CEI. MEDA has considered CA certified values submitted by entity. CEI in its report mentioned GEC as 82.74MUs</t>
  </si>
  <si>
    <t>As per report submitted by entity vide its letter dated 20.08.2019 Entity is obligated under RPO in CPP category for FY 2018-19.However, entity claimed that they should not be considered under RPO as they are generating power from ISW, WHRB and AFBC in which industrial waste (i.e. dolachar) are used.As per their mail dtd 21.04.2021 they have submitted self certified letter stating commissioning date as 30.06.2009  and also stated that their Capacity &amp; GEC is correct as per CEI report &amp; The same are considered for commissioning date.</t>
  </si>
  <si>
    <t>Capacity and GEC is verified by CEI. MEDA has taken the values submitted by entity. CEI in its report mentioned capacity as 25MW and GEC as 127.5MUs</t>
  </si>
  <si>
    <t>As per report submitted by entity vide its letter dtd 14.08.2019 no RPO details have been provided, Entity is obligated under RPO in CPP category for FY 2018-19 and not fulfilled the RPO.By their e-mail dtd 07.05.2021, they state that Only 8 MW Generation is running on Waste Heat Recovery Boiler (WHRB) &amp; 25MW Coal Based CPP Not Yet commissioned, as their End use Plant is not Ready.They had mentioned the synchronized date  02.09.2013 for 8MW WHRB &amp; declared Commercial Operation date 28.07.2017&amp; MEDA have considered the date as 02.09.2013 for commissioning date.</t>
  </si>
  <si>
    <t>Capacity and GEC is verified by CEI but MEDA has taken the values submitted by entity. CEI in its report mentioned GEC as 234.196MUs</t>
  </si>
  <si>
    <t>As per report submitted by entity vide its letter dated 21.08.2019 Entity is obligated under RPO in CPP category for FY 2018-19. Entity has not fulfilled the RPO obligation as they are claiming that as per order of case no. 68 of 2019, they have time till March 2020 to fulfil their RPO .Entity vide their email dtd 20.05.2021 had given the commissioning dates of plants as 20.11.1991, 27.05.1998 &amp; 21.02.1997 with supporting documents &amp; MEDA has considered the same for commissioning date.</t>
  </si>
  <si>
    <t>Capacity and GEC is verified by CEI report but MEDA had considered the entity submitted details. The CEI report mentioned Capacity as 22.2MW and GEC as 142.979MUs</t>
  </si>
  <si>
    <t>As per report submitted by entity vide its letter dated 23.08.2019 Entity is obligated under RPO in CPP category for FY 2018-19. Entity has not fulfilled the RPO obligation as they are claiming that as per order of case no. 68 of 2019, they have time till March 2020 to fulfil their RPO.By their letter dtd. 20.04.2021 they claim that their  commissioned on  30.09.2004, 07.05.2009, 23.01.2012 &amp; 30.03.2011 with supporting documents &amp; MEDA has considered the same for commissioning date.</t>
  </si>
  <si>
    <t>Capacity and GEC is verified by CEI.  MEDA has considered the  report submitted by entity. CEI in its report mentioned  capacity as 43MW &amp; GEC as 0MUs &amp; says grid not connected.</t>
  </si>
  <si>
    <t xml:space="preserve">Capacity and GEC is verified by CEI. MEDA had considered the CA  certified report submitted by entity. CEI in its report mentioned capacity as 73.69MW and GEC as 680.44MUs </t>
  </si>
  <si>
    <t>As per report submitted by entity vide its letter dated 26.04.2021 Entity is obligated under RPO in CPP category for FY 2018-19. Entity has fulfilled the RPO obligation by purchasing non solar REC of 107505 in which 59400 will be utilised for FY 2018-19 and remaing for next year.Entity vide their e-mail dtd 20.04.2021 mentiones commissioning dates as 07.09.1988, 17.10.1988 and 06.08.2001 with supporting documents &amp; MEDA has considered the same for commissioning date.</t>
  </si>
  <si>
    <t xml:space="preserve">Capacity and GEC is verified by CEI. MEDA has considered the report submitted by entity. CEI in its report mentiones  GEC as 18.91MUs. </t>
  </si>
  <si>
    <t>Entity not submitted any report. Entity is obligated under RPO in CPP category for FY 2018-19.entity vide its email dtd 22.04.2021 claims they they are not a captive power plant &amp; their commisioning date is 21.10.2010 but no supporting document submitted &amp; MEDA has considered the same for commissioning date.</t>
  </si>
  <si>
    <t>Capacity and GEC is verified by CEI report. CEI report mentiones  GEC as 0.47MUs.</t>
  </si>
  <si>
    <t>Entity not submitted any report. Entity is obligated under RPO in CPP category for FY 2018-19.Entity vide their e-mail dtd. 20.04.2021 had provided MSEB letter dtd 18.03.2005 of Final grid connectivity permission. Entity submitted to consider the date of MSEB letter as commissiong date &amp; MEDA has considered the same for commissioning date.</t>
  </si>
  <si>
    <t xml:space="preserve">Capacity and GEC is verified by CEI report. MEDA had considered the report submitted by entity. CEI in its report mentiones  capacity as 60MW &amp; GEC as 311.09MUs </t>
  </si>
  <si>
    <t>As per report submitted by entity vide itse-mail dated 12.04.2021. Entity is obligated under RPO in CPP category for FY 2018-19.Also vide their e-mail dtd 30.04.2021 their commissioning date is 19.03.2013 &amp; MEDA has considered the same for commissioning date.</t>
  </si>
  <si>
    <t>Capacity and GEC is verified by CEI report but MEDA has considered the entity submitted report. The CEI report mentions capacity as 24.750MW and GEC as 90.43MUs.</t>
  </si>
  <si>
    <t>Entity vide their e-mail dtd.21.04.2021 has provided their GEC and capacity only.Their commissioning date is 26.02.2011 &amp; 21.06.2010 with supporting documents. Entity is obligated under RPO in CPP category for FY 2018-19 &amp; MEDA has considered the same for commissioning date..</t>
  </si>
  <si>
    <t>Capacity and GEC is verified by CEI. MEDA has considered the entity submitted report. The CEI report mentions capacity as 81MW and GEC as 471.029MUs.</t>
  </si>
  <si>
    <t xml:space="preserve">Capacity &amp; GEC is taken from CA certificate report submitted by Plant. CEI in its report capacity is mentioned as 7.6 MW and GEC is 0.20MUs. </t>
  </si>
  <si>
    <t xml:space="preserve">Capacity &amp; GEC is taken from CA certificate submitted by Plant. CEI in its report capacity is mentioned as 60 MW and GEC is 306.06MUs. </t>
  </si>
  <si>
    <t>Capacity &amp; GEC is verified by CEI. GEC/Plant capacity is taken from CA certificate report submitted by plant. CEI in its report mentioned GEC as 37.73MUs with comment saying grid not connected.</t>
  </si>
  <si>
    <t>Capacity and GEC is verified by CEI. MEDA has considered the entity submitted details. The CEI report mentions Capacity as 22.2MW and GEC as 142.979MUs</t>
  </si>
  <si>
    <t>Capacity and GEC verified by CEI.MEDA has taken the CA certified values submitted by entity whereas CEI report mentiones capacity as 30MW and GEC as 105.935MUs.</t>
  </si>
  <si>
    <t xml:space="preserve">Capacity and GEC verified by CEI report and same taken by MEDA. </t>
  </si>
  <si>
    <t>Capacity and GEC verified by CEI report but MEDA has considered the GEC from report submitted by entity. The CEI report mentiones capacity as 60 MW &amp; GEC as 339.667MU</t>
  </si>
  <si>
    <t>As per report submitted by entity vide its letter dated 11.10.2020 Entity is obligated under RPO in CPP category for FY 2019-20 and have not fulfilled Non solar and Solar RPO.They have mentioned cases 65 &amp;130 of 2020 and their GEC as 339.941MU only.By their e-mail dtd 29.04.2021, they have submitted documents stating that the installation dates of gas turbines are in the years 1984 and 2000, provided supporting documents and &amp; MEDA had considered the same for commissioning date.</t>
  </si>
  <si>
    <t>Capacity and GEC is verified by CEI. MEDA has considered CA certified report submitted by entity . The CEI report shows GEC as 361.535MU</t>
  </si>
  <si>
    <t xml:space="preserve">As per report submitted by entity vide its letter dated 28.10.2020, Entity is obligated under RPO in CPP category for FY 2019-20  and have  partially fulfilled RPO target. It mentioned various cases in their letter They have  non-solar RE biomass based cogeneration plant 226.53Mus generation and Fossil generation is only 142.96MUs.Enitity vide their e-mail dtd 22.04.2021 had informed us about their 4 unit commissiong years which are 1974, 1984, 1994 &amp; 2009  with supporting documents &amp; MEDA has considered the same for commissioning date . </t>
  </si>
  <si>
    <t>Capacity &amp; GEC is verified by CEI. MEDA has considered the certified CA report submitted by plant, whereas in CEI report GEC is given as 159.08MUs &amp; Plant Capacity 37.5MW.</t>
  </si>
  <si>
    <t>Capacity and GEC verified by CEI. MEDA has considered the CA certified report submitted by entity. The CEI report mentiones GEC as 291.28MU</t>
  </si>
  <si>
    <t>As per entity's latest letter dtd 18.01.2021 Entity is obligated under RPO in CPP category for FY 2019-20 and have fulfilled RPO target. 95 Non solar RECs of march has been carried forward to April 2019 and they have submitted 0.6MW solar power project detail which is conneced in their internal grid and requested for considering in the solar RE procurement but we have not considered it.As per their e-mail dtd 22.04.2021, their commencement dates are Oct-1998, Jan-2012 and March-2014 but no supporting documents is submitted &amp; MEDA has considered the same for commissioning date</t>
  </si>
  <si>
    <t>Capacity and GEC verified by CEI. MEDA has considred the report submitted by entity The CEI report mentiones GEC as 237.156MU .</t>
  </si>
  <si>
    <t xml:space="preserve">As per report submitted by entity vide its letter dated15.12.2020 Entity is obligated under RPO in CPP category for FY 2019-20 and have  not fulfilled RPO target.  Now, vide their e-mail dtd 23.04.2021 they had provided the supporting documents mentioning their commencement dates as 28.10.1997 and 04.11.2005 &amp; MEDA has considered the same for commissioning date. </t>
  </si>
  <si>
    <t>As per report submitted by entity vide its latest letter dated 07.10.2020 &amp; 03.11.2020 Entity is obligated under RPO in CPP category for FY 2019-20. Entity submitted incomplete data with GEC as 62.82MUs and capacity of plant not mentioned in their report,whereas CEI report mentiones GEC as 67.5MU &amp; capacity 36.560MW .Also they have provide relevant documents to support commissioning date of plant i.e.02.08.2003 so the RPO percentage will be 9%.&amp; MEDA has considered the same for commissioning date</t>
  </si>
  <si>
    <t>Capacity and GEC verified by CEI. MEDA has considered the CA certified report submitted by entity. The CEI report mentiones GEC as 67.5MU</t>
  </si>
  <si>
    <t>Capacity and GEC verified by CEI. MEDA has considered the report submitted by entity. The CEI report mentiones capacity as 85MW &amp; GEC as 265.11MU</t>
  </si>
  <si>
    <t>As per report submitted by entity vide its letter dated 15.10.2020, Entity is obligated under RPO in CPP category for FY 2019-20.Entity has not fulfilled the RPO obligation their report mentions GEC as 226.94 which is not CA verified.As per their e-mail dtd 22.04.2021 they are stating that their date of commissioning is 08.09.2008 and 06.01.2009 but no supporting documents submitted &amp; MEDA has considered the same for commissioning date</t>
  </si>
  <si>
    <t>Capacity and GECis verified by CEI. MEDA has considered the self certified report submitted by entity. The CEI report mentiones capacity as 18 MW &amp; GEC as 110.595MU</t>
  </si>
  <si>
    <t>Capacity and GEC is verified by CEI. MEDA has taken the CA certified values submitted by entity. CEI in its report mentiones GEC as 82.74MUs</t>
  </si>
  <si>
    <t>As per report submitted by entity vide its letter &amp; email dated 08.10.2020 Entity is obligated under RPO in CPP category for FY 2019-20.However, entity claimed that they should not be considered under RPO as they are generating power from ISW, WHRB and AFBC in which industrial waste (i.e. dolachar) are used.As per their mail dtd 21.04.2021 they have submitted self certified letter stating commissioning date as 30.06.2019 &amp; 27.02.2010  &amp; MEDA has considered the same for commissioning date.</t>
  </si>
  <si>
    <t>Capacity and GEC verified by CEI. MEDA has taken the values submitted by entity whereas CEI report mentiones capacity as 25MW and GEC as 113.43MUs</t>
  </si>
  <si>
    <t>As per report submitted by entity vide its letter dated 07.10.2020 no RPO details have been provided, Entity is obligated under RPO in CPP category for FY 2019-20 and not fulfilled the RPO.Entity claims that 25MW coal based CPP not yet commissioned as their end use plant is not ready.They had mentioned the synchronized date as 02.09.2013 for 8MW WHRB &amp; declared Commercial Operation date as 28.07.2017 &amp; MEDA has considered the same for commissioning date</t>
  </si>
  <si>
    <t>Capacity and GEC verified by CEI. MEDA has taken the values submitted by entity. CEI in its report mentiones GEC as 242.83MUs</t>
  </si>
  <si>
    <t>As per report submitted by entity vide its letter dated 20.11.2020, Entity is obligated under RPO in CPP category for FY 2019-20. Entity has not fulfilled the RPO obligation as they are claiming that as per order of case no. 68 of 2019, they have time till March 2020. Entity vide their email dtd 20.05.2021 had given the commissioning dates of plants as 20.11.1991, 27.05.1198 &amp; 21.02.1997 with supporting documents &amp; MEDA considered the same for commissioning date.</t>
  </si>
  <si>
    <t>Capacity and GEC verified by CEI report. MEDA has considered the C.A report submitted by entity. The CEI report mentiones capacity as 22.2 MW &amp; GEC as 126.510MU</t>
  </si>
  <si>
    <t>As per report submitted by entity vide its letter dated 13.10.2020 Entity is obligated under RPO in CPP category for FY 2019-20.   Entity has not fulfilled the RPO obligation as they are claiming that as per order of case no. 68 of 2019, they have time till March 2020 to fulfil their RPO.By their letter dtd. 20.04.2021 they claim that their  commissioned on  30.09.2004, 07.05.2009, 23.01.2012 &amp; 30.03.2011 with supporting documents &amp; MEDA has considered the same for commissioning date.</t>
  </si>
  <si>
    <t>Capacity and GEC verified by CEI. MEDA had considered the  report submitted by entity.  CEI in its report mentiones  capacity as 43MW &amp; GEC as 0MUs &amp; says grid not connected.</t>
  </si>
  <si>
    <t>As per report submitted by entity vide its letter dated 07.05.2021 Entity is obligated under RPO in CPP category for FY 2019-20 and have  not fulfilled RPO target.they states that their commissioning date is 17.12.2009 and provided supporting document &amp; MEDA has considered the same for commissioning date.</t>
  </si>
  <si>
    <t>Capacity and GEC verified by CEI. MEDA has taken the C.A certified report submitted by entity. it is non reported at CEI and CEI report mentiones capacity  73.690 MW and GEC as 637.95MUs</t>
  </si>
  <si>
    <t>As per report submitted by entity vide its letter dated 26.04.2021 Entity is obligated under RPO in CPP category for FY 2019-20 and have fulfilled RPO target. Entity vide its e-mail dtd 28.12.2020 confirms the capacity as 73.690MW and GEC as 646.25079MUs.Purchased two Non-solar RECs of 107505 &amp; 10058. out of 107505 RECs, 48105 is used to fulfil for the current year and 59400 is used for previous year. Entity vide their e-mail dtd 20.04.2021 mentiones commissioning dates as 07.09.1988, 17.10.1988 and 06.08.2001 with supporting documents &amp; MEDA has considered the same for commissioning date.</t>
  </si>
  <si>
    <t xml:space="preserve">Capacity &amp; GEC verified by CEI. MEDA has considered the report submitted by plant, whereas in CEI report GEC mentioned as 15.95MUs </t>
  </si>
  <si>
    <t>As per report submitted by entity vide its letter dated 08.10.2020 Entity is obligated under RPO in CPP category for FY 2019-20 and have  not fulfilled RPO target. entity vide its email dtd 22.04.2021 claims they they are not a captive power plant &amp; their commisioning date is 21.10.2010 but no supporting document submitted &amp; MEDA has considered the same for commissioning date.</t>
  </si>
  <si>
    <t>Capacity and GEC verified by CEI. MEDA has considered the report submitted by entity through their mail. The CEI report mentiones capacity as 5MW and GEC as 0.11MUs</t>
  </si>
  <si>
    <t>As per report submitted by entity vide its e-mail dated 15.10.2020  Entity is obligated under RPO in CPP category for FY 2019-20.The GEC mentioned by entity in the Confirmation mail dtd. 27.12.2020 is 0.08119MU whereas the CA certified report mentions GEC as 81.19 MU.Entity vide their e-mail dtd. 20.04.2021 had provided MSEB letter dtd 18.03.2005 of Final grid connectivity permission. It is requested to consider the date of MSEB letter as commissiong date &amp; MEDA has considered the same for commissioning date.</t>
  </si>
  <si>
    <t>Capacity and GEC verified by CEI. MEDA has considred the report submitted by entity. The CEI report mentiones GEC as 338.64MU &amp; capacity 60MW.</t>
  </si>
  <si>
    <t>As per report submitted by entity vide its letter dated 20.04.2021 Entity is obligated under RPO in CPP category for FY 2019-20 and have  not fulfilled RPO target. Also vide their e-mail dtd 30.04.2021 their commissioning date is 19.03.2013 &amp; MEDA has considered the same for commissioning date.</t>
  </si>
  <si>
    <t>Capacity and GEC verified by CEI. MEDA has taken the report submitted by entity through mail,it is non reported at CEI and CEI report mentiones capacity 24.750 MW and GEC as 41.33MUs</t>
  </si>
  <si>
    <t>As per report submitted by entity vide its letter dated 23.12.2020 Entity is obligated under RPO in CPP category for FY 2019-20 and have  not fulfilled RPO target. They mentioned various cases.As per their e-mail dtd. 26.12.2020. they have submitted the GEC as 43.93 MUs.Entity vide their e-mail dtd.21.04.2021 has provided their GEC and capacity only.Their commissioning date is 26.02.2011 &amp; 21.06.2010 with supporting documents &amp; MEDA has considered the same for commissioning date.</t>
  </si>
  <si>
    <t>Capacity and GEC verified by CEI. MEDA had considered the  report submitted by entity. CEI in its report mentiones  capacity as 81MW &amp; GEC as 488.717MUs.</t>
  </si>
  <si>
    <t>As per report submitted by entity vide its letter dated 12.10.2020 Entity is obligated under RPO in CPP category for FY 2019-20. Entity has not fulfilled the RPO obligation as they are claiming that as per order of case no. 269 of 2019, 130 &amp; 111 of 2020 , they have time till March 2021 to fulfil their RPO . Entity vide their self certified letter dtd. 15.07.2021 entity had provided the commissioning date as 31.05.1990 &amp; 28.12.1989 and MEDA has considered the same for commissioning date.</t>
  </si>
  <si>
    <t>Capacity and GEC verified by CEI. entity has submitted only capacity which MEDA has considered, whereas in CEI report capacity is 7.6MW and GEC 0.52MU .</t>
  </si>
  <si>
    <t xml:space="preserve">Entity not submitted any report. Entity is obligated under RPO in CPP category for FY 2019-20.Entity through mail dtd 16.07.2021 informed us about capacity and commissioning year i.e 1997 without supporting documents &amp; MEDA has considered the same for commissioning date. </t>
  </si>
  <si>
    <t>As per report submitted by entity vide its letters dated 22.10.2019 &amp; 16.02.2021 Entity is obligated under RPO in CPP category for FY 2019-20 &amp; had not fulfilled the target.The data provided by entity is incomplete(only half year submitted).Entity vide their email provided commissiong date as september 2014 &amp; MEDA has considered the same for commissioning date</t>
  </si>
  <si>
    <r>
      <t>As per report submitted by entity vide its letter dated 30.04.2021 Entity is obligated under RPO in CPP category for FY 2018-19 and have not fulfilled RPO tar</t>
    </r>
    <r>
      <rPr>
        <sz val="12"/>
        <color indexed="8"/>
        <rFont val="Times New Roman"/>
        <family val="1"/>
      </rPr>
      <t>get.Entity provided commissiong dt as 25.04.2012 with supporting documents &amp; MEDA has considered the same for commissioning date.</t>
    </r>
  </si>
  <si>
    <t>Capacity and GEC verified by CEI. .MEDA has considred the CA certified report submitted by entity The CEI report mentiones GEC as 40.02MU.Also  the CEI report says it is not connected to grid</t>
  </si>
  <si>
    <t>Capacity and GEC verified by CEI. MEDA has considered the report submitted by entity. The CEI in its report mentiones capacity as 22.2 &amp; GEC as 126.510MU</t>
  </si>
  <si>
    <t>Capacity and GEC verified by CEI. MEDA has considered the CA certified report submitted by entity. The CEI report mentiones GEC as 106.6105MU</t>
  </si>
  <si>
    <t>Capacity and GEC is verified by CEI. Same is taken by MEDA remarked that the plant has been closed from 23.08.2019</t>
  </si>
  <si>
    <t>Capacity and GEC verified by CEI report and same is taken by MEDA, The CEI report says that the power plant closed on 22.03.2020</t>
  </si>
  <si>
    <t>Verification of RPO of Obligated CPP entities</t>
  </si>
  <si>
    <t>Solar RPO Target (in Mus)</t>
  </si>
  <si>
    <t>Non-Solar RPO Target (in Mus)</t>
  </si>
  <si>
    <t>R.E actually procured against target including own generation (in Mus)</t>
  </si>
  <si>
    <t>Ultra Tech Cement Ltd. 
 Awarpur Cement Works, P.O.Awarpur, Taluka Korpana, Dist. Chandrapur – 442 917, Consumer no.331569004752</t>
  </si>
  <si>
    <t>Hindustan Petroleum Corp.Ltd             Mumbai Refinery,P.O Box No. 18820, B.D.Patil Marg, Mahul,Mumbai-400074
TPC-D Consumer No.900000021997</t>
  </si>
  <si>
    <t>JSW Steel Limited
Geetapuram, Dolvi, Taluka - Pen, Dist. Raigad - 402107                               MSEDCLConsumer No. -032949018554</t>
  </si>
  <si>
    <t>Reliance Industries Ltd. B4, MIDC Industrial Area, Patalganga - 410220</t>
  </si>
  <si>
    <r>
      <t xml:space="preserve">Manikgarh Cement Unit 2,
P.O. Gadchandur, Taluka: Korpana, Dist:Chandrapur - 442 909  </t>
    </r>
    <r>
      <rPr>
        <i/>
        <sz val="12"/>
        <rFont val="Times New Roman"/>
        <family val="1"/>
      </rPr>
      <t xml:space="preserve">(CPP Capacity-60MW) </t>
    </r>
  </si>
  <si>
    <r>
      <t xml:space="preserve">Manikgarh Cement,
P.O. Gadchandur, Taluka: Korpana, Dist:Chandrapur - 442 908 </t>
    </r>
    <r>
      <rPr>
        <i/>
        <sz val="12"/>
        <rFont val="Times New Roman"/>
        <family val="1"/>
      </rPr>
      <t xml:space="preserve">(CPP Capacity-15MW) </t>
    </r>
  </si>
  <si>
    <r>
      <t xml:space="preserve">ABHISHEK COTSPIN MILLS LTD.       GAT NO 148 TAMGAON DIST KOLHAPUR-416234                   </t>
    </r>
    <r>
      <rPr>
        <b/>
        <sz val="12"/>
        <rFont val="Times New Roman"/>
        <family val="1"/>
      </rPr>
      <t xml:space="preserve">
</t>
    </r>
  </si>
  <si>
    <r>
      <t xml:space="preserve">ACG ASSOCIATED CAPSULES PVT LTD                                                                 SHINDEWADI TAL KHANDALA DIST SATARA SHINDEWADI-412801
</t>
    </r>
    <r>
      <rPr>
        <b/>
        <sz val="12"/>
        <rFont val="Times New Roman"/>
        <family val="1"/>
      </rPr>
      <t xml:space="preserve">
</t>
    </r>
  </si>
  <si>
    <r>
      <t xml:space="preserve">ACG Associated Capsules Pvt. Ltd
131 KANDIVALI INDUSTRIAL ESTATE,KANDIVALI  WEST,MUMBAI - 400067                </t>
    </r>
    <r>
      <rPr>
        <b/>
        <sz val="12"/>
        <rFont val="Times New Roman"/>
        <family val="1"/>
      </rPr>
      <t xml:space="preserve">      </t>
    </r>
    <r>
      <rPr>
        <sz val="12"/>
        <rFont val="Times New Roman"/>
        <family val="1"/>
      </rPr>
      <t xml:space="preserve">                  </t>
    </r>
    <r>
      <rPr>
        <b/>
        <sz val="12"/>
        <rFont val="Times New Roman"/>
        <family val="1"/>
      </rPr>
      <t xml:space="preserve">
</t>
    </r>
  </si>
  <si>
    <r>
      <t xml:space="preserve">ArcelorMittal Nippon Steel India Limited (formerly Essar steel India Ltd. )                             Gat No.740, Sanaswadi, Pune Nagar Road,Pune 412208     </t>
    </r>
    <r>
      <rPr>
        <b/>
        <sz val="12"/>
        <rFont val="Times New Roman"/>
        <family val="1"/>
      </rPr>
      <t xml:space="preserve">   </t>
    </r>
  </si>
  <si>
    <r>
      <t xml:space="preserve">ASSOCIATED CAPSULES PVT LTD            GAT NO 448 ,SHINDEWADI TAL :KHANDALA DIST : SATARA, 412801                                             </t>
    </r>
    <r>
      <rPr>
        <b/>
        <sz val="12"/>
        <rFont val="Times New Roman"/>
        <family val="1"/>
      </rPr>
      <t xml:space="preserve">
</t>
    </r>
  </si>
  <si>
    <r>
      <t>As per report submitted by entity vide its letter dated 12.08.2016, Entity is obligated under RPO in OA consumer category for FY 2015-16.Non-solar RECs proof not submitted</t>
    </r>
    <r>
      <rPr>
        <b/>
        <sz val="12"/>
        <rFont val="Times New Roman"/>
        <family val="1"/>
      </rPr>
      <t>.</t>
    </r>
    <r>
      <rPr>
        <sz val="12"/>
        <rFont val="Times New Roman"/>
        <family val="1"/>
      </rPr>
      <t>MEDA has not considered GEC submitted by obligated entity.</t>
    </r>
  </si>
  <si>
    <r>
      <t xml:space="preserve">BHAGIRATH TEXTLES INDS P LTD Mohali,Tal: Kalmeshwar,Nagpur - 441502,Maharashtra, India 
</t>
    </r>
    <r>
      <rPr>
        <b/>
        <sz val="12"/>
        <rFont val="Times New Roman"/>
        <family val="1"/>
      </rPr>
      <t xml:space="preserve">
</t>
    </r>
  </si>
  <si>
    <r>
      <t xml:space="preserve">Br. Sheshrao Wankhede Sheshrao
Shetkari Sahakari Soot Girni,
Mohgaon, Butibori,
Nagpur-441108.                       </t>
    </r>
    <r>
      <rPr>
        <b/>
        <sz val="12"/>
        <rFont val="Times New Roman"/>
        <family val="1"/>
      </rPr>
      <t xml:space="preserve">
</t>
    </r>
  </si>
  <si>
    <r>
      <t xml:space="preserve">CHALET HOTELS PVT LTD,                          SURVEY NO.2 &amp; 3B NEAR CHINMAYANAND ASHRAM PAWAI MUMBAI NO.400 072. (RST DIVN)
</t>
    </r>
    <r>
      <rPr>
        <b/>
        <sz val="12"/>
        <rFont val="Times New Roman"/>
        <family val="1"/>
      </rPr>
      <t xml:space="preserve">
</t>
    </r>
  </si>
  <si>
    <r>
      <t xml:space="preserve">Challet,
PLT NO - CTS NO 1483 ETC,HOTEL BLDG,VILLAGE MAROL, NEAR TAJ FLIGHT KITCHEN Andheri (E),Mumbai-400093                                                           </t>
    </r>
    <r>
      <rPr>
        <b/>
        <sz val="12"/>
        <rFont val="Times New Roman"/>
        <family val="1"/>
      </rPr>
      <t xml:space="preserve">
</t>
    </r>
  </si>
  <si>
    <r>
      <t xml:space="preserve">CIPLA LTD                          PLOT NO A-42 M I D C PATALGANGA TALUKA KHALAPUR DIST RAIGAD-410220                                   </t>
    </r>
    <r>
      <rPr>
        <b/>
        <sz val="12"/>
        <rFont val="Times New Roman"/>
        <family val="1"/>
      </rPr>
      <t xml:space="preserve">
</t>
    </r>
  </si>
  <si>
    <r>
      <t>Cosmo Films Ltd.               Plot No.B-14-9,</t>
    </r>
    <r>
      <rPr>
        <b/>
        <sz val="12"/>
        <rFont val="Times New Roman"/>
        <family val="1"/>
      </rPr>
      <t>MIDC,Walunj</t>
    </r>
    <r>
      <rPr>
        <sz val="12"/>
        <rFont val="Times New Roman"/>
        <family val="1"/>
      </rPr>
      <t xml:space="preserve">-Dist-Aurangabad-431133.                                   </t>
    </r>
  </si>
  <si>
    <r>
      <t>Cosmo Films Ltd.               AL-24/1,</t>
    </r>
    <r>
      <rPr>
        <b/>
        <sz val="12"/>
        <rFont val="Times New Roman"/>
        <family val="1"/>
      </rPr>
      <t>MIDC,Shendra</t>
    </r>
    <r>
      <rPr>
        <sz val="12"/>
        <rFont val="Times New Roman"/>
        <family val="1"/>
      </rPr>
      <t xml:space="preserve">-Dist-Aurangabad-431001.                                   </t>
    </r>
  </si>
  <si>
    <r>
      <t xml:space="preserve">EMCURE PHARMACEUTICALS LTD,                                                 Plot P-I, IT-BT Park, M.I.D.C., Hinjwadi,, Pune, Maharashtra 411057.                                           </t>
    </r>
    <r>
      <rPr>
        <b/>
        <sz val="12"/>
        <rFont val="Times New Roman"/>
        <family val="1"/>
      </rPr>
      <t xml:space="preserve">
</t>
    </r>
  </si>
  <si>
    <r>
      <t xml:space="preserve">ENKEI WHEELS INDIA LTD.                 GAT NO.1425 AT SHIKRAPUR TAL SHIRUR DIST PUNE-412208                        </t>
    </r>
    <r>
      <rPr>
        <b/>
        <sz val="12"/>
        <rFont val="Times New Roman"/>
        <family val="1"/>
      </rPr>
      <t xml:space="preserve">
</t>
    </r>
  </si>
  <si>
    <r>
      <t xml:space="preserve">ETCO INDUSTRIES PVT LTD             PLOT NO B2/B3 MIDC AREA PARBHANI TQ. DIST PARBHANI,Maharashtra – 431404,       </t>
    </r>
    <r>
      <rPr>
        <b/>
        <sz val="12"/>
        <rFont val="Times New Roman"/>
        <family val="1"/>
      </rPr>
      <t xml:space="preserve">
</t>
    </r>
  </si>
  <si>
    <r>
      <t xml:space="preserve">Gimatex Industries Pvt. Ltd.                                  7,Km Mile Stone,N.H.No.7,Village-Wani,Tah-Hinganghat,Dist-Wardha ,MH-442301.
(RAMMANDIR WARD HINGANGHAT HINGANGHAT)
 </t>
    </r>
    <r>
      <rPr>
        <b/>
        <sz val="12"/>
        <rFont val="Times New Roman"/>
        <family val="1"/>
      </rPr>
      <t xml:space="preserve">
</t>
    </r>
  </si>
  <si>
    <r>
      <t xml:space="preserve">GIMATEX INDUSTRIES PVT. LTD.                   UNIT NO -II, KHASARA NO 54/2, 7 KM MILE STONE N.H. NO. 7,AT VG. WANI, TAL-HINGANGHAT,DIST-WARDHA-442301
</t>
    </r>
    <r>
      <rPr>
        <b/>
        <sz val="12"/>
        <rFont val="Times New Roman"/>
        <family val="1"/>
      </rPr>
      <t xml:space="preserve">
</t>
    </r>
  </si>
  <si>
    <r>
      <t xml:space="preserve">GTN ENGINEERING (INDIA) LTD.                D-49,MIDC,BARAMATI, TAL-BARAMATI, DIST-PUNE-413133                       </t>
    </r>
    <r>
      <rPr>
        <b/>
        <sz val="12"/>
        <rFont val="Times New Roman"/>
        <family val="1"/>
      </rPr>
      <t xml:space="preserve">
</t>
    </r>
  </si>
  <si>
    <r>
      <t xml:space="preserve">GTN INDUSTRIES LTD Nagpur Unit,Village Khurajgaon,Tah-Saoner-441112,Dist:Nagpur.
</t>
    </r>
    <r>
      <rPr>
        <b/>
        <sz val="12"/>
        <rFont val="Times New Roman"/>
        <family val="1"/>
      </rPr>
      <t xml:space="preserve">
</t>
    </r>
  </si>
  <si>
    <r>
      <t xml:space="preserve">H &amp; R Johnson (India) Ltd. (A Division of Prism Cement Ltd, Pen)                         
Gadab, Tal-Pen, Raigad-402107                                  </t>
    </r>
    <r>
      <rPr>
        <b/>
        <sz val="12"/>
        <rFont val="Times New Roman"/>
        <family val="1"/>
      </rPr>
      <t>:</t>
    </r>
  </si>
  <si>
    <r>
      <t xml:space="preserve">INDAPUR DAIRY &amp; MILK PRODUCTS LTD.                  AT &amp; POST GOKHALI, TAL. INDAPUR, DIST. PUNE GOKHALI -413106.                       </t>
    </r>
    <r>
      <rPr>
        <b/>
        <sz val="12"/>
        <rFont val="Times New Roman"/>
        <family val="1"/>
      </rPr>
      <t xml:space="preserve">
</t>
    </r>
  </si>
  <si>
    <r>
      <t xml:space="preserve">INDIRA GANDHI MAHILA S SOOT GIRNI LT             GATNO 665/666 AT POST- SHIBNAKWADI, TALUKA-SHIROL, DIST. KOLHAPUR,Ichalkaranji - 416115, Maharashtra                      </t>
    </r>
    <r>
      <rPr>
        <b/>
        <sz val="12"/>
        <rFont val="Times New Roman"/>
        <family val="1"/>
      </rPr>
      <t xml:space="preserve">
</t>
    </r>
  </si>
  <si>
    <r>
      <t xml:space="preserve">KIRLOSKAR FERROUS INDUSTRIES LTD                                                        GAT NO 18/1(B) , MAJAREWADI SOLAPUR SOLAPUR-413 224.                         </t>
    </r>
    <r>
      <rPr>
        <b/>
        <sz val="12"/>
        <rFont val="Times New Roman"/>
        <family val="1"/>
      </rPr>
      <t xml:space="preserve">
</t>
    </r>
  </si>
  <si>
    <r>
      <t xml:space="preserve">Linde India Ltd.                   Plot no.1-8,MIDC Industrial Area, Taloja, Dist.Raigad, Navi Mumbai 410208       </t>
    </r>
    <r>
      <rPr>
        <b/>
        <sz val="12"/>
        <rFont val="Times New Roman"/>
        <family val="1"/>
      </rPr>
      <t xml:space="preserve">  </t>
    </r>
  </si>
  <si>
    <r>
      <t xml:space="preserve">Mahindra &amp; Mahindra Ltd
Automotive Sector, Akruli Road, Kandivali-East, Mumbai - 400101    </t>
    </r>
    <r>
      <rPr>
        <b/>
        <sz val="12"/>
        <rFont val="Times New Roman"/>
        <family val="1"/>
      </rPr>
      <t xml:space="preserve">                    </t>
    </r>
  </si>
  <si>
    <r>
      <t xml:space="preserve">NetMagic Solutions Pvt Ltd
MEHRA INDUSTRIAL ESTATE,GRND TO 2ND FLR,OPP UNION BANK,L B S MARG, VIKHROLI WEST.                     </t>
    </r>
    <r>
      <rPr>
        <b/>
        <sz val="12"/>
        <rFont val="Times New Roman"/>
        <family val="1"/>
      </rPr>
      <t xml:space="preserve">
</t>
    </r>
  </si>
  <si>
    <r>
      <t xml:space="preserve">Pee Vee Textiles Ltd,N. H. No. 7, JAM-4420305
SAMUDRAPUR, MAHARASHTRA </t>
    </r>
    <r>
      <rPr>
        <b/>
        <sz val="12"/>
        <rFont val="Times New Roman"/>
        <family val="1"/>
      </rPr>
      <t>Unit-3</t>
    </r>
    <r>
      <rPr>
        <sz val="12"/>
        <rFont val="Times New Roman"/>
        <family val="1"/>
      </rPr>
      <t xml:space="preserve">       </t>
    </r>
    <r>
      <rPr>
        <b/>
        <sz val="12"/>
        <rFont val="Times New Roman"/>
        <family val="1"/>
      </rPr>
      <t>Consumer No</t>
    </r>
  </si>
  <si>
    <r>
      <t xml:space="preserve">Pranavaditya Spinning Mills Ltd,                                    Village:Alte P.B. No.2,Hatakanangale,Kolhapur-416109.             </t>
    </r>
    <r>
      <rPr>
        <b/>
        <sz val="12"/>
        <rFont val="Times New Roman"/>
        <family val="1"/>
      </rPr>
      <t>Consumer No</t>
    </r>
  </si>
  <si>
    <r>
      <t>As per report submitted by entity vide its letter dated 18.08.2016 Entity is obligated under RPO in OA consumer category for FY 2015-16.</t>
    </r>
    <r>
      <rPr>
        <b/>
        <sz val="12"/>
        <rFont val="Times New Roman"/>
        <family val="1"/>
      </rPr>
      <t>"REC proofs not submitted"</t>
    </r>
    <r>
      <rPr>
        <sz val="12"/>
        <rFont val="Times New Roman"/>
        <family val="1"/>
      </rPr>
      <t>.MEDA has considered GEC as per the report submitted by MSEDCL and not considered GEC submitted by obligated entity.</t>
    </r>
  </si>
  <si>
    <t>490019041660</t>
  </si>
  <si>
    <t>76-A</t>
  </si>
  <si>
    <t>MEDA</t>
  </si>
  <si>
    <t>MC Unit 2</t>
  </si>
  <si>
    <t>2010-11</t>
  </si>
  <si>
    <t>2011-12</t>
  </si>
  <si>
    <t>2012-13</t>
  </si>
  <si>
    <t>2013-14</t>
  </si>
  <si>
    <t>2020-21</t>
  </si>
  <si>
    <t>2021-22</t>
  </si>
  <si>
    <t>2022-23</t>
  </si>
  <si>
    <t>MVML</t>
  </si>
  <si>
    <t>EIL</t>
  </si>
  <si>
    <t>TPSK</t>
  </si>
  <si>
    <t>KIPL</t>
  </si>
  <si>
    <t>JIC</t>
  </si>
  <si>
    <t>JSW</t>
  </si>
  <si>
    <t>Mahindra</t>
  </si>
  <si>
    <t>Krishna</t>
  </si>
  <si>
    <t>SSSGL</t>
  </si>
  <si>
    <t>LUPIN</t>
  </si>
  <si>
    <t>HPCL</t>
  </si>
  <si>
    <t>SAMPL</t>
  </si>
  <si>
    <t>GCL</t>
  </si>
  <si>
    <t>CTIPL</t>
  </si>
  <si>
    <t>UTC</t>
  </si>
  <si>
    <t>Indo Count Industries</t>
  </si>
  <si>
    <t>Magneti</t>
  </si>
  <si>
    <t xml:space="preserve"> MEDA</t>
  </si>
  <si>
    <t>Jindal Poly</t>
  </si>
  <si>
    <t>LONA</t>
  </si>
  <si>
    <t>PRANAVADITYA</t>
  </si>
  <si>
    <t>Inox</t>
  </si>
  <si>
    <t>Vinati</t>
  </si>
  <si>
    <t>Gopani</t>
  </si>
  <si>
    <t>Thussen</t>
  </si>
  <si>
    <t>Godfrey</t>
  </si>
  <si>
    <t>HIKAL</t>
  </si>
  <si>
    <t>Raymond</t>
  </si>
  <si>
    <t>USV</t>
  </si>
  <si>
    <t>NOCIL</t>
  </si>
  <si>
    <t>GSL</t>
  </si>
  <si>
    <t>Hindalco</t>
  </si>
  <si>
    <t>Wr are not covered under the definition of " Obligated Entities" and hence exexpted from RPO obligation.</t>
  </si>
  <si>
    <t>Century</t>
  </si>
  <si>
    <t>Steel</t>
  </si>
  <si>
    <t>NEOSYM</t>
  </si>
  <si>
    <t>ARVIND</t>
  </si>
  <si>
    <t>Topworth</t>
  </si>
  <si>
    <t>Suryalaxmi Cotton</t>
  </si>
  <si>
    <t>Lloyds</t>
  </si>
  <si>
    <t>Techno</t>
  </si>
  <si>
    <t>Orient</t>
  </si>
  <si>
    <t>POSCO</t>
  </si>
  <si>
    <t>BHARAT</t>
  </si>
  <si>
    <t>BALMER</t>
  </si>
  <si>
    <t>BILT</t>
  </si>
  <si>
    <t>CEAT</t>
  </si>
  <si>
    <t>Viraj</t>
  </si>
  <si>
    <t>VIRAJ</t>
  </si>
  <si>
    <t>4 &amp; 4.5</t>
  </si>
  <si>
    <t>34 &amp; 23</t>
  </si>
  <si>
    <t>SUPREME</t>
  </si>
  <si>
    <t>SHETKARI</t>
  </si>
  <si>
    <t>CHASSIS</t>
  </si>
  <si>
    <t>Hindustan</t>
  </si>
  <si>
    <t>Reliance</t>
  </si>
  <si>
    <t>JCB</t>
  </si>
  <si>
    <t>Jubilant</t>
  </si>
  <si>
    <t>MAHABAL</t>
  </si>
  <si>
    <t>REQUIRED 4 WEEKS TIME</t>
  </si>
  <si>
    <t>initially contract demand of 303 MVA and reduced in FY-2017 to 2.7 MVA, we are below 5 MVA contract demand. Exempted from applicabilitity of RPO target .</t>
  </si>
  <si>
    <r>
      <t>Bharat Forge Ltd,                   Mundhwa,Pune-411036.</t>
    </r>
    <r>
      <rPr>
        <b/>
        <sz val="12"/>
        <rFont val="Times New Roman"/>
        <family val="1"/>
      </rPr>
      <t xml:space="preserve">              </t>
    </r>
  </si>
  <si>
    <t>BOSCH</t>
  </si>
  <si>
    <t>Have a status of Co-generation Captive Power Plant hence, not Covered under defination of " Obligated Entities"</t>
  </si>
  <si>
    <t xml:space="preserve">Hitachi Astemo India Pvt.Ltd. (Formerly Foundation Brake Manufacturing Ltd.)
Off NH-6, Bambhori, Taluka- Dharangaon, Dist- Jalgaon - 425 001                          </t>
  </si>
  <si>
    <t xml:space="preserve">M/s. Heubach Colorants India Ltd. (Formerly Clariant Chemicals (India) Ltd.), 113/114,M.I.D.C.,IndustrialArea,A.V.Roha.A.V.P.O.Dhatav,Tal-Roha,Dist-Raigad-402116.     </t>
  </si>
  <si>
    <t>HCIL</t>
  </si>
  <si>
    <t xml:space="preserve">M/s. TDK India Pvt.Ltd (Formerly M/s. Epcos India (P) Ltd.)
Plot no. E 22-25, MIDC, Satpur, Nashik - 422 007                 </t>
  </si>
  <si>
    <t>TDK</t>
  </si>
  <si>
    <t>TDK does not have requisite data. It contracted with GEPL and insovency proceedings is pending against GEPL</t>
  </si>
  <si>
    <t>EIEL</t>
  </si>
  <si>
    <t>FIL</t>
  </si>
  <si>
    <t>FIL is consuming power from grid connected fossile fuel based co-generation plant and is exempted from RPO</t>
  </si>
  <si>
    <t>GIL</t>
  </si>
  <si>
    <t>INOX</t>
  </si>
  <si>
    <t>As per report submitted by entity  Entity is obligated under RPO in OA consumer category for FY 2014-15.MEDA has not considered GEC submitted by obligated entity.</t>
  </si>
  <si>
    <t>As per report submitted by entity, it is obligated under RPO in OA consumer category for FY 2015-16.MEDA has not considered GEC submitted by obligated entity.</t>
  </si>
  <si>
    <t xml:space="preserve">PUDUMJEE  PAPER PRODUCTS LTD.,THERGAON CHINCHWAD, PUNE   411033.                                 </t>
  </si>
  <si>
    <t>PPPL</t>
  </si>
  <si>
    <t>RLSEL</t>
  </si>
  <si>
    <t>RLSEL is going to fulfill by consuming Green Energy instead of REC in future</t>
  </si>
  <si>
    <t>TSL</t>
  </si>
  <si>
    <t xml:space="preserve">Tata Steel Limited, Wire Division, Plot No.F8/1, A6, A9,S76, MIDC Tarapur, Boisar-401501                                     </t>
  </si>
  <si>
    <t>SCML</t>
  </si>
  <si>
    <t>TISPL</t>
  </si>
  <si>
    <t xml:space="preserve">VIRAJ PROFILES PVT. LIMITED  Survey No.25/1 &amp; 25/2 Village: Mann Tal:Palghar, Dist: Palghar                  </t>
  </si>
  <si>
    <r>
      <t xml:space="preserve">Viraj Profiles PVT. Ltd. (Unit VPLG-140/1)                                                                           S.N 140/1, Village Saravali, Tal- Palghar, Dist- Thane-401 501   </t>
    </r>
    <r>
      <rPr>
        <b/>
        <sz val="12"/>
        <rFont val="Times New Roman"/>
        <family val="1"/>
      </rPr>
      <t xml:space="preserve"> </t>
    </r>
  </si>
  <si>
    <t xml:space="preserve">Viraj Profiles Pvt. Ltd. (Unit VPLG-114)                                                                           S.N 114 (CV), Village Mahagao, Tal- Palghar, Dist- Thane-401 501  </t>
  </si>
  <si>
    <t xml:space="preserve">Viraj Profiles Pvt. Ltd. (Unit VPPLG-2)                                                          Plot No. G-2, MIDC Tarapur Industrial Estate , Boisar,Tal- Palghar, Dist. Thane - 401  506  </t>
  </si>
  <si>
    <t>Viraj Profiles Pvt.Ltd. (Unit VPLPG-23)                                                                           Plot No. G-23, MIDC Tarapur Industrial Estate , Boisar,Tal- Palghar, Dist. Thane - 401  506  (-)</t>
  </si>
  <si>
    <t>Viraj Profiles Pvt. Ltd. (Unit VPPLG-1/3)                                                                           Plot No. G-1/3, MIDC Tarapur Industrial Estate , Boisar,Tal- Palghar, Dist. Thane - 401  506    (-)</t>
  </si>
  <si>
    <t>Viraj Profiles Pvt. Ltd. (Unit VPLPG-75)                                                                           Plot No. G-75, MIDC Tarapur Industrial Estate , Boisar,Tal- Palghar, Dist. Thane - 401  506  (-)</t>
  </si>
  <si>
    <t>VIL</t>
  </si>
  <si>
    <t>KTL</t>
  </si>
  <si>
    <t>2.2/4.27</t>
  </si>
  <si>
    <r>
      <t xml:space="preserve">M/s. AAK India Pvt. Ltd. (Formerly KAMANI OIL INDUSTRIES PVT.LTD) AT SR.NO. 6/1, 20/2, VILLAGE - HONAD, TAL - KHALAPUR, DIST - RAIGAD.-410203.             </t>
    </r>
    <r>
      <rPr>
        <b/>
        <sz val="12"/>
        <rFont val="Times New Roman"/>
        <family val="1"/>
      </rPr>
      <t xml:space="preserve">
</t>
    </r>
  </si>
  <si>
    <t>3.3 &amp; 2.7</t>
  </si>
  <si>
    <t>RE based CPP user</t>
  </si>
  <si>
    <t>SMW ISPAT</t>
  </si>
  <si>
    <t xml:space="preserve">SMW ISPAT PVT.LTD. (FORMERLY Mahalaxmi TMT Pvt Ltd),                                                          Plot No.C-2 Deoli ,MIDC Deoli Growth Centre, Village- Deoli, Dist- Wardha-442 101 (Mh.) India                                         </t>
  </si>
  <si>
    <t>M&amp;M</t>
  </si>
  <si>
    <t xml:space="preserve">Mahindra &amp; Mahindra Limited, Automotive Sector,  89,  MIDC, Satpur, Nashik - 422007            </t>
  </si>
  <si>
    <t>Partial data has been reported</t>
  </si>
  <si>
    <t>Only Statement of OA trasactions has been furnished and no relevant submission made</t>
  </si>
  <si>
    <t>No Data Provided</t>
  </si>
  <si>
    <t>NZKUSSGM</t>
  </si>
  <si>
    <t>No data submitted</t>
  </si>
  <si>
    <t xml:space="preserve">Revalyu Recycling (India)Ltd. (Earlier Polygenta Technologies Ltd)., Gat no.265/1,266,Village Avankhed,Taluka-Dindori,Dist-Nashik-422202.                                  </t>
  </si>
  <si>
    <t>Revalyu</t>
  </si>
  <si>
    <t xml:space="preserve">As per Omya it is not an obligated entity. </t>
  </si>
  <si>
    <t>AIS</t>
  </si>
  <si>
    <t xml:space="preserve">Asahi India Glass Ltd, Plot No-T-7, MIDC-Taloja, Dist Raigad- 410208                                              </t>
  </si>
  <si>
    <t>Availed OA between Oct-14 to Mar-15, but data not submitted</t>
  </si>
  <si>
    <t>BFWPL</t>
  </si>
  <si>
    <t>SDDL</t>
  </si>
  <si>
    <t>Not covered under the definition of " Obligated Entities" requied to fulfill RPO as we are a grid connected Captive Power Plant having Co-Generation Facility.</t>
  </si>
  <si>
    <t xml:space="preserve">Unit is having 40MW off Grid CPP hence not covered under " Obligated Entities" </t>
  </si>
  <si>
    <t>Not provided any data. REC certicate of 77 REC puchased on 14 February 2024 is furnished. This is an attempt to meet shaortfall of 0.155 MUs.</t>
  </si>
  <si>
    <t>CFL</t>
  </si>
  <si>
    <t>VOL</t>
  </si>
  <si>
    <t>RCF</t>
  </si>
  <si>
    <t>DFCCL</t>
  </si>
  <si>
    <t>BGPPL</t>
  </si>
  <si>
    <t>TSBL</t>
  </si>
  <si>
    <t>ACC</t>
  </si>
  <si>
    <t>DFPCL</t>
  </si>
  <si>
    <t>CPP was not in the operation.</t>
  </si>
  <si>
    <t>OIPL</t>
  </si>
  <si>
    <t>As per report submitted by entity vide its letter dated 27.03.2018, Entity is obligated under RPO in OA consumer category for FY 2016-17.MEDA has not considered GEC and CD as per CA certification submitted by obligated entity.</t>
  </si>
  <si>
    <t>MSL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</si>
</sst>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
    <numFmt numFmtId="166" formatCode="0.00000"/>
    <numFmt numFmtId="167" formatCode="0.000"/>
    <numFmt numFmtId="168" formatCode="0.0000"/>
  </numFmts>
  <fonts count="56" x14ac:knownFonts="1">
    <font>
      <sz val="11"/>
      <color theme="1"/>
      <name val="Calibri"/>
      <family val="2"/>
      <scheme val="minor"/>
    </font>
    <font>
      <b/>
      <sz val="52"/>
      <name val="Arial"/>
      <family val="2"/>
    </font>
    <font>
      <sz val="48"/>
      <name val="Arial"/>
      <family val="2"/>
    </font>
    <font>
      <b/>
      <sz val="42"/>
      <name val="Arial"/>
      <family val="2"/>
    </font>
    <font>
      <sz val="42"/>
      <name val="Arial"/>
      <family val="2"/>
    </font>
    <font>
      <sz val="42"/>
      <color indexed="55"/>
      <name val="Arial"/>
      <family val="2"/>
    </font>
    <font>
      <sz val="44"/>
      <color indexed="8"/>
      <name val="Arial"/>
      <family val="2"/>
    </font>
    <font>
      <b/>
      <sz val="48"/>
      <name val="Arial"/>
      <family val="2"/>
    </font>
    <font>
      <u/>
      <sz val="13.2"/>
      <color indexed="12"/>
      <name val="Calibri"/>
      <family val="2"/>
    </font>
    <font>
      <i/>
      <sz val="48"/>
      <name val="Arial"/>
      <family val="2"/>
    </font>
    <font>
      <sz val="48"/>
      <color indexed="8"/>
      <name val="Arial"/>
      <family val="2"/>
    </font>
    <font>
      <sz val="44"/>
      <name val="Arial"/>
      <family val="2"/>
    </font>
    <font>
      <b/>
      <sz val="44"/>
      <name val="Arial"/>
      <family val="2"/>
    </font>
    <font>
      <sz val="49"/>
      <name val="Arial"/>
      <family val="2"/>
    </font>
    <font>
      <b/>
      <sz val="49"/>
      <name val="Arial"/>
      <family val="2"/>
    </font>
    <font>
      <sz val="49"/>
      <color indexed="8"/>
      <name val="Arial"/>
      <family val="2"/>
    </font>
    <font>
      <sz val="47"/>
      <name val="Arial"/>
      <family val="2"/>
    </font>
    <font>
      <b/>
      <sz val="47"/>
      <name val="Arial"/>
      <family val="2"/>
    </font>
    <font>
      <sz val="47"/>
      <color indexed="8"/>
      <name val="Arial"/>
      <family val="2"/>
    </font>
    <font>
      <b/>
      <i/>
      <sz val="48"/>
      <name val="Arial"/>
      <family val="2"/>
    </font>
    <font>
      <b/>
      <sz val="44"/>
      <color indexed="8"/>
      <name val="Arial"/>
      <family val="2"/>
    </font>
    <font>
      <sz val="48"/>
      <color rgb="FFFF0000"/>
      <name val="Arial"/>
      <family val="2"/>
    </font>
    <font>
      <b/>
      <sz val="48"/>
      <color indexed="10"/>
      <name val="Arial"/>
      <family val="2"/>
    </font>
    <font>
      <i/>
      <sz val="48"/>
      <color indexed="10"/>
      <name val="Arial"/>
      <family val="2"/>
    </font>
    <font>
      <b/>
      <sz val="48"/>
      <color indexed="8"/>
      <name val="Arial"/>
      <family val="2"/>
    </font>
    <font>
      <sz val="24"/>
      <color indexed="81"/>
      <name val="Tahoma"/>
      <family val="2"/>
    </font>
    <font>
      <u/>
      <sz val="11"/>
      <color indexed="12"/>
      <name val="Calibri"/>
      <family val="2"/>
    </font>
    <font>
      <sz val="10"/>
      <name val="Arial"/>
      <family val="2"/>
    </font>
    <font>
      <sz val="11"/>
      <color indexed="8"/>
      <name val="Calibri"/>
      <family val="2"/>
    </font>
    <font>
      <b/>
      <sz val="12"/>
      <name val="Times New Roman"/>
      <family val="1"/>
    </font>
    <font>
      <sz val="11"/>
      <name val="Arial"/>
      <family val="2"/>
    </font>
    <font>
      <sz val="24"/>
      <name val="Arial"/>
      <family val="2"/>
    </font>
    <font>
      <sz val="12"/>
      <name val="Times New Roman"/>
      <family val="1"/>
    </font>
    <font>
      <sz val="11"/>
      <color indexed="8"/>
      <name val="Arial"/>
      <family val="2"/>
    </font>
    <font>
      <sz val="12"/>
      <color indexed="8"/>
      <name val="Times New Roman"/>
      <family val="1"/>
    </font>
    <font>
      <sz val="11"/>
      <color rgb="FFFF0000"/>
      <name val="Arial"/>
      <family val="2"/>
    </font>
    <font>
      <b/>
      <sz val="12"/>
      <color indexed="8"/>
      <name val="Times New Roman"/>
      <family val="1"/>
    </font>
    <font>
      <b/>
      <sz val="11"/>
      <color indexed="8"/>
      <name val="Arial"/>
      <family val="2"/>
    </font>
    <font>
      <sz val="48"/>
      <name val="Times New Roman"/>
      <family val="1"/>
    </font>
    <font>
      <b/>
      <sz val="48"/>
      <name val="Times New Roman"/>
      <family val="1"/>
    </font>
    <font>
      <i/>
      <sz val="48"/>
      <name val="Times New Roman"/>
      <family val="1"/>
    </font>
    <font>
      <sz val="48"/>
      <color indexed="8"/>
      <name val="Times New Roman"/>
      <family val="1"/>
    </font>
    <font>
      <sz val="48"/>
      <name val="Tahoma"/>
      <family val="2"/>
    </font>
    <font>
      <sz val="48"/>
      <color theme="1"/>
      <name val="Arial"/>
      <family val="2"/>
    </font>
    <font>
      <b/>
      <sz val="48"/>
      <color theme="1"/>
      <name val="Arial"/>
      <family val="2"/>
    </font>
    <font>
      <sz val="44"/>
      <name val="Times New Roman"/>
      <family val="1"/>
    </font>
    <font>
      <sz val="44"/>
      <color indexed="8"/>
      <name val="Times New Roman"/>
      <family val="1"/>
    </font>
    <font>
      <b/>
      <sz val="44"/>
      <color indexed="8"/>
      <name val="Times New Roman"/>
      <family val="1"/>
    </font>
    <font>
      <b/>
      <sz val="48"/>
      <color indexed="8"/>
      <name val="Times New Roman"/>
      <family val="1"/>
    </font>
    <font>
      <sz val="12"/>
      <color theme="1"/>
      <name val="Times New Roman"/>
      <family val="1"/>
    </font>
    <font>
      <i/>
      <sz val="12"/>
      <name val="Times New Roman"/>
      <family val="1"/>
    </font>
    <font>
      <b/>
      <sz val="12"/>
      <name val="Arial"/>
      <family val="2"/>
    </font>
    <font>
      <sz val="12"/>
      <name val="Arial"/>
      <family val="2"/>
    </font>
    <font>
      <sz val="12"/>
      <color indexed="8"/>
      <name val="Arial"/>
      <family val="2"/>
    </font>
    <font>
      <sz val="12"/>
      <color rgb="FFFF0000"/>
      <name val="Times New Roman"/>
      <family val="1"/>
    </font>
    <font>
      <sz val="12"/>
      <color rgb="FFFF0000"/>
      <name val="Arial"/>
      <family val="2"/>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s>
  <borders count="42">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ck">
        <color indexed="64"/>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style="thin">
        <color indexed="64"/>
      </right>
      <top/>
      <bottom/>
      <diagonal/>
    </border>
    <border>
      <left style="thin">
        <color indexed="64"/>
      </left>
      <right/>
      <top/>
      <bottom/>
      <diagonal/>
    </border>
    <border>
      <left/>
      <right/>
      <top style="thick">
        <color indexed="64"/>
      </top>
      <bottom style="thick">
        <color indexed="64"/>
      </bottom>
      <diagonal/>
    </border>
    <border>
      <left/>
      <right style="medium">
        <color indexed="64"/>
      </right>
      <top/>
      <bottom/>
      <diagonal/>
    </border>
    <border>
      <left/>
      <right style="thick">
        <color indexed="64"/>
      </right>
      <top style="thick">
        <color indexed="64"/>
      </top>
      <bottom/>
      <diagonal/>
    </border>
    <border>
      <left style="thin">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ck">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xf numFmtId="0" fontId="27" fillId="0" borderId="0"/>
    <xf numFmtId="0" fontId="27" fillId="0" borderId="0"/>
    <xf numFmtId="0" fontId="27" fillId="0" borderId="0"/>
    <xf numFmtId="0" fontId="28" fillId="0" borderId="0"/>
    <xf numFmtId="0" fontId="27" fillId="0" borderId="0"/>
  </cellStyleXfs>
  <cellXfs count="450">
    <xf numFmtId="0" fontId="0" fillId="0" borderId="0" xfId="0"/>
    <xf numFmtId="0" fontId="2" fillId="0" borderId="3" xfId="0" applyFont="1" applyBorder="1" applyAlignment="1">
      <alignment wrapText="1"/>
    </xf>
    <xf numFmtId="0" fontId="3" fillId="0" borderId="6" xfId="0" applyFont="1" applyBorder="1" applyAlignment="1">
      <alignment horizontal="left" vertical="top" wrapText="1"/>
    </xf>
    <xf numFmtId="0" fontId="4" fillId="0" borderId="3" xfId="0" applyFont="1" applyBorder="1" applyAlignment="1">
      <alignment wrapText="1"/>
    </xf>
    <xf numFmtId="0" fontId="5" fillId="0" borderId="3" xfId="0" applyFont="1" applyBorder="1" applyAlignment="1">
      <alignment wrapText="1"/>
    </xf>
    <xf numFmtId="0" fontId="3" fillId="0" borderId="10" xfId="0" applyFont="1" applyBorder="1" applyAlignment="1">
      <alignment horizontal="left" wrapText="1"/>
    </xf>
    <xf numFmtId="0" fontId="4" fillId="0" borderId="0" xfId="0" applyFont="1" applyAlignment="1">
      <alignment wrapText="1"/>
    </xf>
    <xf numFmtId="0" fontId="6" fillId="0" borderId="0" xfId="0" applyFont="1" applyAlignment="1">
      <alignment wrapText="1"/>
    </xf>
    <xf numFmtId="0" fontId="3" fillId="0" borderId="11" xfId="0" applyFont="1" applyBorder="1" applyAlignment="1">
      <alignment horizontal="left" wrapText="1"/>
    </xf>
    <xf numFmtId="0" fontId="2" fillId="0" borderId="1" xfId="0" applyFont="1" applyBorder="1" applyAlignment="1">
      <alignment vertical="center" wrapText="1"/>
    </xf>
    <xf numFmtId="0" fontId="10" fillId="0" borderId="0" xfId="0" applyFont="1" applyAlignment="1">
      <alignment wrapText="1"/>
    </xf>
    <xf numFmtId="0" fontId="11" fillId="0" borderId="1" xfId="0" applyFont="1" applyBorder="1" applyAlignment="1">
      <alignment vertical="center" wrapText="1"/>
    </xf>
    <xf numFmtId="0" fontId="13" fillId="0" borderId="1" xfId="0" applyFont="1" applyBorder="1" applyAlignment="1">
      <alignment vertical="center" wrapText="1"/>
    </xf>
    <xf numFmtId="0" fontId="16" fillId="2" borderId="1" xfId="0" applyFont="1" applyFill="1" applyBorder="1" applyAlignment="1">
      <alignment vertical="center" wrapText="1"/>
    </xf>
    <xf numFmtId="0" fontId="6" fillId="0" borderId="3" xfId="0" applyFont="1" applyBorder="1" applyAlignment="1">
      <alignment wrapText="1"/>
    </xf>
    <xf numFmtId="0" fontId="10" fillId="0" borderId="3" xfId="0" applyFont="1" applyBorder="1" applyAlignment="1">
      <alignment wrapText="1"/>
    </xf>
    <xf numFmtId="0" fontId="2" fillId="0" borderId="12" xfId="0" applyFont="1" applyBorder="1" applyAlignment="1">
      <alignment vertical="top" wrapText="1"/>
    </xf>
    <xf numFmtId="0" fontId="2" fillId="0" borderId="12" xfId="0" applyFont="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top" wrapText="1"/>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3" xfId="1" applyNumberFormat="1" applyFont="1" applyFill="1" applyBorder="1" applyAlignment="1" applyProtection="1">
      <alignment horizontal="center" vertical="center" wrapText="1"/>
    </xf>
    <xf numFmtId="164" fontId="2" fillId="0" borderId="3" xfId="0" applyNumberFormat="1" applyFont="1" applyBorder="1" applyAlignment="1">
      <alignment horizontal="lef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3" xfId="0" applyFont="1" applyBorder="1" applyAlignment="1">
      <alignment vertical="center" wrapText="1"/>
    </xf>
    <xf numFmtId="0" fontId="11" fillId="0" borderId="13" xfId="0" applyFont="1" applyBorder="1" applyAlignment="1">
      <alignment vertical="center" wrapText="1"/>
    </xf>
    <xf numFmtId="0" fontId="13" fillId="0" borderId="13" xfId="0" applyFont="1" applyBorder="1" applyAlignment="1">
      <alignment vertical="center" wrapText="1"/>
    </xf>
    <xf numFmtId="164" fontId="11" fillId="0" borderId="13" xfId="0" applyNumberFormat="1" applyFont="1" applyBorder="1" applyAlignment="1">
      <alignment horizontal="left" vertical="center" wrapText="1"/>
    </xf>
    <xf numFmtId="0" fontId="2" fillId="0" borderId="0" xfId="0" applyFont="1" applyAlignment="1">
      <alignment wrapText="1"/>
    </xf>
    <xf numFmtId="164" fontId="16" fillId="2" borderId="13" xfId="0" applyNumberFormat="1" applyFont="1" applyFill="1" applyBorder="1" applyAlignment="1">
      <alignment horizontal="left" vertical="center" wrapText="1"/>
    </xf>
    <xf numFmtId="0" fontId="2" fillId="0" borderId="14" xfId="0" applyFont="1" applyBorder="1" applyAlignment="1">
      <alignment vertical="center" wrapText="1"/>
    </xf>
    <xf numFmtId="164" fontId="11" fillId="0" borderId="14" xfId="0" applyNumberFormat="1" applyFont="1" applyBorder="1" applyAlignment="1">
      <alignment horizontal="left" vertical="center" wrapText="1"/>
    </xf>
    <xf numFmtId="0" fontId="15" fillId="2" borderId="13" xfId="0" applyFont="1" applyFill="1" applyBorder="1" applyAlignment="1">
      <alignment vertical="center" wrapText="1"/>
    </xf>
    <xf numFmtId="164" fontId="18" fillId="2" borderId="13" xfId="0" applyNumberFormat="1" applyFont="1" applyFill="1" applyBorder="1" applyAlignment="1">
      <alignment horizontal="left" vertical="center" wrapText="1"/>
    </xf>
    <xf numFmtId="0" fontId="11" fillId="0" borderId="14" xfId="0" applyFont="1" applyBorder="1" applyAlignment="1">
      <alignment vertical="center" wrapText="1"/>
    </xf>
    <xf numFmtId="0" fontId="18" fillId="2" borderId="14" xfId="0" applyFont="1" applyFill="1" applyBorder="1" applyAlignment="1">
      <alignment vertical="center" wrapText="1"/>
    </xf>
    <xf numFmtId="0" fontId="16" fillId="2" borderId="13" xfId="0" applyFont="1" applyFill="1" applyBorder="1" applyAlignment="1">
      <alignment vertical="center" wrapText="1"/>
    </xf>
    <xf numFmtId="0" fontId="2" fillId="0" borderId="16" xfId="0" applyFont="1" applyBorder="1" applyAlignment="1">
      <alignment vertical="center" wrapText="1"/>
    </xf>
    <xf numFmtId="0" fontId="21" fillId="0" borderId="16" xfId="0" applyFont="1" applyBorder="1" applyAlignment="1">
      <alignment vertical="center" wrapText="1"/>
    </xf>
    <xf numFmtId="0" fontId="21" fillId="0" borderId="0" xfId="0" applyFont="1" applyAlignment="1">
      <alignment wrapText="1"/>
    </xf>
    <xf numFmtId="0" fontId="11" fillId="0" borderId="16" xfId="0" applyFont="1" applyBorder="1" applyAlignment="1">
      <alignment vertical="center" wrapText="1"/>
    </xf>
    <xf numFmtId="0" fontId="15" fillId="2" borderId="16" xfId="0" applyFont="1" applyFill="1" applyBorder="1" applyAlignment="1">
      <alignment vertical="center" wrapText="1"/>
    </xf>
    <xf numFmtId="0" fontId="2" fillId="0" borderId="3" xfId="0" applyFont="1" applyBorder="1" applyAlignment="1">
      <alignment horizontal="left" vertical="center" wrapText="1"/>
    </xf>
    <xf numFmtId="164" fontId="2" fillId="0" borderId="3" xfId="1" applyNumberFormat="1" applyFont="1" applyFill="1" applyBorder="1" applyAlignment="1" applyProtection="1">
      <alignment horizontal="left" vertical="center" wrapText="1"/>
    </xf>
    <xf numFmtId="0" fontId="13" fillId="0" borderId="3" xfId="0" applyFont="1" applyBorder="1" applyAlignment="1">
      <alignment vertical="top" wrapText="1"/>
    </xf>
    <xf numFmtId="0" fontId="13" fillId="0" borderId="3" xfId="0" applyFont="1" applyBorder="1" applyAlignment="1">
      <alignment horizontal="center" vertical="center" wrapText="1"/>
    </xf>
    <xf numFmtId="165" fontId="13" fillId="0" borderId="3" xfId="0" applyNumberFormat="1" applyFont="1" applyBorder="1" applyAlignment="1">
      <alignment horizontal="center" vertical="center" wrapText="1"/>
    </xf>
    <xf numFmtId="164" fontId="13" fillId="2" borderId="3" xfId="0" applyNumberFormat="1" applyFont="1" applyFill="1" applyBorder="1" applyAlignment="1">
      <alignment horizontal="left" vertical="center" wrapText="1"/>
    </xf>
    <xf numFmtId="164" fontId="13" fillId="0" borderId="3" xfId="0" applyNumberFormat="1" applyFont="1" applyBorder="1" applyAlignment="1">
      <alignment horizontal="left" vertical="center" wrapText="1"/>
    </xf>
    <xf numFmtId="164" fontId="13" fillId="0" borderId="3" xfId="1" applyNumberFormat="1" applyFont="1" applyFill="1" applyBorder="1" applyAlignment="1" applyProtection="1">
      <alignment horizontal="left" vertical="center" wrapText="1"/>
    </xf>
    <xf numFmtId="0" fontId="16" fillId="2" borderId="3" xfId="0" applyFont="1" applyFill="1" applyBorder="1" applyAlignment="1">
      <alignment vertical="top" wrapText="1"/>
    </xf>
    <xf numFmtId="0" fontId="16" fillId="2" borderId="3" xfId="0" applyFont="1" applyFill="1" applyBorder="1" applyAlignment="1">
      <alignment horizontal="center" vertical="center" wrapText="1"/>
    </xf>
    <xf numFmtId="164" fontId="16" fillId="2" borderId="3" xfId="0" applyNumberFormat="1" applyFont="1" applyFill="1" applyBorder="1" applyAlignment="1">
      <alignment horizontal="left" vertical="center" wrapText="1"/>
    </xf>
    <xf numFmtId="166" fontId="16" fillId="2" borderId="3" xfId="0" applyNumberFormat="1" applyFont="1" applyFill="1" applyBorder="1" applyAlignment="1">
      <alignment horizontal="center" vertical="center" wrapText="1"/>
    </xf>
    <xf numFmtId="164" fontId="16" fillId="2" borderId="3" xfId="1" applyNumberFormat="1" applyFont="1" applyFill="1" applyBorder="1" applyAlignment="1" applyProtection="1">
      <alignment horizontal="left" vertical="center" wrapText="1"/>
    </xf>
    <xf numFmtId="0" fontId="11" fillId="0" borderId="3" xfId="0" applyFont="1" applyBorder="1" applyAlignment="1">
      <alignment vertical="top" wrapText="1"/>
    </xf>
    <xf numFmtId="0" fontId="11" fillId="0" borderId="3" xfId="0" applyFont="1" applyBorder="1" applyAlignment="1">
      <alignment horizontal="center" vertical="center" wrapText="1"/>
    </xf>
    <xf numFmtId="0" fontId="6" fillId="0" borderId="3" xfId="0" applyFont="1" applyBorder="1" applyAlignment="1">
      <alignment horizontal="center" vertical="center" wrapText="1"/>
    </xf>
    <xf numFmtId="164" fontId="11" fillId="0" borderId="3" xfId="0" applyNumberFormat="1" applyFont="1" applyBorder="1" applyAlignment="1">
      <alignment horizontal="left" vertical="center" wrapText="1"/>
    </xf>
    <xf numFmtId="164" fontId="11" fillId="0" borderId="3" xfId="1" applyNumberFormat="1" applyFont="1" applyFill="1" applyBorder="1" applyAlignment="1" applyProtection="1">
      <alignment horizontal="left" vertical="center" wrapText="1"/>
    </xf>
    <xf numFmtId="0" fontId="11" fillId="0" borderId="3" xfId="0" applyFont="1" applyBorder="1" applyAlignment="1">
      <alignment vertical="center" wrapText="1"/>
    </xf>
    <xf numFmtId="0" fontId="18" fillId="2" borderId="1" xfId="0" applyFont="1" applyFill="1" applyBorder="1" applyAlignment="1">
      <alignment vertical="center" wrapText="1"/>
    </xf>
    <xf numFmtId="0" fontId="2" fillId="0" borderId="17" xfId="0" applyFont="1" applyBorder="1" applyAlignment="1">
      <alignment vertical="center" wrapText="1"/>
    </xf>
    <xf numFmtId="164" fontId="11" fillId="0" borderId="11" xfId="0" applyNumberFormat="1" applyFont="1" applyBorder="1" applyAlignment="1">
      <alignment horizontal="left" vertical="center" wrapText="1"/>
    </xf>
    <xf numFmtId="0" fontId="11" fillId="0" borderId="0" xfId="0" applyFont="1" applyAlignment="1">
      <alignment vertical="center" wrapText="1"/>
    </xf>
    <xf numFmtId="164" fontId="13" fillId="0" borderId="8" xfId="0" applyNumberFormat="1" applyFont="1" applyBorder="1" applyAlignment="1">
      <alignment horizontal="left" vertical="center" wrapText="1"/>
    </xf>
    <xf numFmtId="164" fontId="13" fillId="0" borderId="11" xfId="0" applyNumberFormat="1" applyFont="1" applyBorder="1" applyAlignment="1">
      <alignment horizontal="left" vertical="center" wrapText="1"/>
    </xf>
    <xf numFmtId="164" fontId="16" fillId="2" borderId="11" xfId="0" applyNumberFormat="1" applyFont="1" applyFill="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0" xfId="0" applyNumberFormat="1" applyFont="1" applyAlignment="1">
      <alignment horizontal="left" vertical="center" wrapText="1"/>
    </xf>
    <xf numFmtId="0" fontId="11" fillId="0" borderId="11" xfId="0" applyFont="1" applyBorder="1" applyAlignment="1">
      <alignment vertical="center" wrapText="1"/>
    </xf>
    <xf numFmtId="164" fontId="16" fillId="0" borderId="8" xfId="0" applyNumberFormat="1" applyFont="1" applyBorder="1" applyAlignment="1">
      <alignment horizontal="left" vertical="center" wrapText="1"/>
    </xf>
    <xf numFmtId="164" fontId="16" fillId="2" borderId="23" xfId="0" applyNumberFormat="1" applyFont="1" applyFill="1" applyBorder="1" applyAlignment="1">
      <alignment horizontal="left" vertical="center" wrapText="1"/>
    </xf>
    <xf numFmtId="0" fontId="2" fillId="0" borderId="19" xfId="0" applyFont="1" applyBorder="1" applyAlignment="1">
      <alignment vertical="center" wrapText="1"/>
    </xf>
    <xf numFmtId="164" fontId="2" fillId="0" borderId="22" xfId="0" applyNumberFormat="1" applyFont="1" applyBorder="1" applyAlignment="1">
      <alignment horizontal="left" vertical="center" wrapText="1"/>
    </xf>
    <xf numFmtId="164" fontId="2" fillId="0" borderId="24" xfId="0" applyNumberFormat="1" applyFont="1" applyBorder="1" applyAlignment="1">
      <alignment horizontal="left" vertical="center" wrapText="1"/>
    </xf>
    <xf numFmtId="164" fontId="2" fillId="0" borderId="20" xfId="0" applyNumberFormat="1" applyFont="1" applyBorder="1" applyAlignment="1">
      <alignment horizontal="left" vertical="center" wrapText="1"/>
    </xf>
    <xf numFmtId="0" fontId="2" fillId="0" borderId="25" xfId="0" applyFont="1" applyBorder="1" applyAlignment="1">
      <alignment vertical="center" wrapText="1"/>
    </xf>
    <xf numFmtId="0" fontId="2" fillId="0" borderId="8" xfId="0" applyFont="1" applyBorder="1" applyAlignment="1">
      <alignment vertical="center" wrapText="1"/>
    </xf>
    <xf numFmtId="0" fontId="13" fillId="2" borderId="11" xfId="0" applyFont="1" applyFill="1" applyBorder="1" applyAlignment="1">
      <alignment vertical="center" wrapText="1"/>
    </xf>
    <xf numFmtId="0" fontId="16" fillId="2" borderId="23" xfId="0" applyFont="1" applyFill="1" applyBorder="1" applyAlignment="1">
      <alignment vertical="center" wrapText="1"/>
    </xf>
    <xf numFmtId="0" fontId="13" fillId="2" borderId="10" xfId="0" applyFont="1" applyFill="1" applyBorder="1" applyAlignment="1">
      <alignment vertical="center" wrapText="1"/>
    </xf>
    <xf numFmtId="0" fontId="16" fillId="2" borderId="11" xfId="0" applyFont="1" applyFill="1" applyBorder="1" applyAlignment="1">
      <alignment vertical="center" wrapText="1"/>
    </xf>
    <xf numFmtId="164" fontId="2" fillId="0" borderId="27" xfId="0" applyNumberFormat="1" applyFont="1" applyBorder="1" applyAlignment="1">
      <alignment horizontal="left" vertical="center" wrapText="1"/>
    </xf>
    <xf numFmtId="0" fontId="11" fillId="0" borderId="10" xfId="0" applyFont="1" applyBorder="1" applyAlignment="1">
      <alignment vertical="center" wrapText="1"/>
    </xf>
    <xf numFmtId="164" fontId="2" fillId="0" borderId="28" xfId="0" applyNumberFormat="1" applyFont="1" applyBorder="1" applyAlignment="1">
      <alignment horizontal="lef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6" fillId="0" borderId="0" xfId="0" applyFont="1" applyAlignment="1">
      <alignment horizontal="center" wrapText="1"/>
    </xf>
    <xf numFmtId="0" fontId="11" fillId="0" borderId="0" xfId="0" applyFont="1" applyAlignment="1">
      <alignment wrapText="1"/>
    </xf>
    <xf numFmtId="0" fontId="6" fillId="0" borderId="0" xfId="0" applyFont="1" applyAlignment="1">
      <alignment horizontal="left" wrapText="1"/>
    </xf>
    <xf numFmtId="0" fontId="20" fillId="0" borderId="0" xfId="0" applyFont="1" applyAlignment="1">
      <alignment wrapText="1"/>
    </xf>
    <xf numFmtId="0" fontId="10" fillId="0" borderId="0" xfId="0" applyFont="1" applyAlignment="1">
      <alignment horizontal="center" wrapText="1"/>
    </xf>
    <xf numFmtId="0" fontId="10" fillId="0" borderId="0" xfId="0" applyFont="1" applyAlignment="1">
      <alignment horizontal="left" wrapText="1"/>
    </xf>
    <xf numFmtId="0" fontId="24" fillId="0" borderId="0" xfId="0" applyFont="1" applyAlignment="1">
      <alignment wrapText="1"/>
    </xf>
    <xf numFmtId="0" fontId="30" fillId="0" borderId="3" xfId="0" applyFont="1" applyBorder="1" applyAlignment="1">
      <alignment wrapText="1"/>
    </xf>
    <xf numFmtId="0" fontId="31" fillId="0" borderId="3" xfId="0" applyFont="1" applyBorder="1" applyAlignment="1">
      <alignment wrapText="1"/>
    </xf>
    <xf numFmtId="0" fontId="21" fillId="0" borderId="13" xfId="0" applyFont="1" applyBorder="1" applyAlignment="1">
      <alignment vertical="center" wrapText="1"/>
    </xf>
    <xf numFmtId="164" fontId="21" fillId="3" borderId="3" xfId="0" applyNumberFormat="1" applyFont="1" applyFill="1" applyBorder="1" applyAlignment="1">
      <alignment horizontal="center" vertical="center" wrapText="1"/>
    </xf>
    <xf numFmtId="0" fontId="21" fillId="3" borderId="3" xfId="0" applyFont="1" applyFill="1" applyBorder="1" applyAlignment="1">
      <alignment vertical="center" wrapText="1"/>
    </xf>
    <xf numFmtId="0" fontId="21" fillId="3" borderId="0" xfId="0" applyFont="1" applyFill="1" applyAlignment="1">
      <alignment wrapText="1"/>
    </xf>
    <xf numFmtId="0" fontId="3" fillId="0" borderId="3" xfId="0" applyFont="1" applyBorder="1" applyAlignment="1">
      <alignment horizontal="center" vertical="center" wrapText="1"/>
    </xf>
    <xf numFmtId="164" fontId="2" fillId="0" borderId="30" xfId="0" applyNumberFormat="1" applyFont="1" applyBorder="1" applyAlignment="1">
      <alignment horizontal="left" vertical="center" wrapText="1"/>
    </xf>
    <xf numFmtId="0" fontId="3" fillId="0" borderId="4" xfId="0" applyFont="1" applyBorder="1" applyAlignment="1">
      <alignment horizontal="left" vertical="top" wrapText="1"/>
    </xf>
    <xf numFmtId="0" fontId="4" fillId="0" borderId="28" xfId="0" applyFont="1" applyBorder="1" applyAlignment="1">
      <alignment horizontal="left" wrapText="1"/>
    </xf>
    <xf numFmtId="0" fontId="4" fillId="0" borderId="22" xfId="0" applyFont="1" applyBorder="1" applyAlignment="1">
      <alignment horizontal="left" wrapText="1"/>
    </xf>
    <xf numFmtId="164" fontId="2" fillId="0" borderId="32" xfId="0" applyNumberFormat="1" applyFont="1" applyBorder="1" applyAlignment="1">
      <alignment horizontal="left" vertical="center" wrapText="1"/>
    </xf>
    <xf numFmtId="0" fontId="11" fillId="0" borderId="32" xfId="0" applyFont="1" applyBorder="1" applyAlignment="1">
      <alignment vertical="center" wrapText="1"/>
    </xf>
    <xf numFmtId="164" fontId="13" fillId="0" borderId="32" xfId="0" applyNumberFormat="1" applyFont="1" applyBorder="1" applyAlignment="1">
      <alignment horizontal="left" vertical="center" wrapText="1"/>
    </xf>
    <xf numFmtId="164" fontId="16" fillId="0" borderId="32" xfId="0" applyNumberFormat="1" applyFont="1" applyBorder="1" applyAlignment="1">
      <alignment horizontal="left" vertical="center" wrapText="1"/>
    </xf>
    <xf numFmtId="164" fontId="21" fillId="0" borderId="32" xfId="0" applyNumberFormat="1" applyFont="1" applyBorder="1" applyAlignment="1">
      <alignment horizontal="left" vertical="center" wrapText="1"/>
    </xf>
    <xf numFmtId="0" fontId="15" fillId="2" borderId="32" xfId="0" applyFont="1" applyFill="1" applyBorder="1" applyAlignment="1">
      <alignment vertical="center" wrapText="1"/>
    </xf>
    <xf numFmtId="0" fontId="16" fillId="2" borderId="32" xfId="0" applyFont="1" applyFill="1" applyBorder="1" applyAlignment="1">
      <alignment vertical="center" wrapText="1"/>
    </xf>
    <xf numFmtId="164" fontId="15" fillId="2" borderId="32" xfId="0" applyNumberFormat="1" applyFont="1" applyFill="1" applyBorder="1" applyAlignment="1">
      <alignment horizontal="left" vertical="center" wrapText="1"/>
    </xf>
    <xf numFmtId="164" fontId="13" fillId="0" borderId="30" xfId="0" applyNumberFormat="1" applyFont="1" applyBorder="1" applyAlignment="1">
      <alignment horizontal="left" vertical="center" wrapText="1"/>
    </xf>
    <xf numFmtId="164" fontId="16" fillId="0" borderId="30" xfId="0" applyNumberFormat="1" applyFont="1" applyBorder="1" applyAlignment="1">
      <alignment horizontal="left" vertical="center" wrapText="1"/>
    </xf>
    <xf numFmtId="0" fontId="11" fillId="0" borderId="30" xfId="0" applyFont="1" applyBorder="1" applyAlignment="1">
      <alignment vertical="center" wrapText="1"/>
    </xf>
    <xf numFmtId="164" fontId="21" fillId="3" borderId="30" xfId="0" applyNumberFormat="1" applyFont="1" applyFill="1" applyBorder="1" applyAlignment="1">
      <alignment horizontal="left" vertical="center" wrapText="1"/>
    </xf>
    <xf numFmtId="164" fontId="2" fillId="0" borderId="34" xfId="0" applyNumberFormat="1" applyFont="1" applyBorder="1" applyAlignment="1">
      <alignment horizontal="left" vertical="center" wrapText="1"/>
    </xf>
    <xf numFmtId="164" fontId="16" fillId="0" borderId="34" xfId="0" applyNumberFormat="1" applyFont="1" applyBorder="1" applyAlignment="1">
      <alignment horizontal="left" vertical="center" wrapText="1"/>
    </xf>
    <xf numFmtId="164" fontId="18" fillId="0" borderId="34" xfId="0" applyNumberFormat="1" applyFont="1" applyBorder="1" applyAlignment="1">
      <alignment horizontal="left" vertical="center" wrapText="1"/>
    </xf>
    <xf numFmtId="0" fontId="11" fillId="0" borderId="34" xfId="0" applyFont="1" applyBorder="1" applyAlignment="1">
      <alignment vertical="center" wrapText="1"/>
    </xf>
    <xf numFmtId="164" fontId="13" fillId="0" borderId="34" xfId="0" applyNumberFormat="1" applyFont="1" applyBorder="1" applyAlignment="1">
      <alignment horizontal="left" vertical="center" wrapText="1"/>
    </xf>
    <xf numFmtId="164" fontId="2" fillId="0" borderId="35" xfId="0" applyNumberFormat="1" applyFont="1" applyBorder="1" applyAlignment="1">
      <alignment horizontal="left" vertical="center" wrapText="1"/>
    </xf>
    <xf numFmtId="0" fontId="11" fillId="0" borderId="8" xfId="0" applyFont="1" applyBorder="1" applyAlignment="1">
      <alignment vertical="center" wrapText="1"/>
    </xf>
    <xf numFmtId="164" fontId="2" fillId="0" borderId="36" xfId="0" applyNumberFormat="1" applyFont="1" applyBorder="1" applyAlignment="1">
      <alignment horizontal="left" vertical="center" wrapText="1"/>
    </xf>
    <xf numFmtId="164" fontId="2" fillId="0" borderId="37" xfId="0" applyNumberFormat="1" applyFont="1" applyBorder="1" applyAlignment="1">
      <alignment horizontal="left" vertical="center" wrapText="1"/>
    </xf>
    <xf numFmtId="164" fontId="16" fillId="0" borderId="18" xfId="0" applyNumberFormat="1" applyFont="1" applyBorder="1" applyAlignment="1">
      <alignment horizontal="left" vertical="center" wrapText="1"/>
    </xf>
    <xf numFmtId="164" fontId="2" fillId="0" borderId="29" xfId="0" applyNumberFormat="1" applyFont="1" applyBorder="1" applyAlignment="1">
      <alignment horizontal="left" vertical="center" wrapText="1"/>
    </xf>
    <xf numFmtId="164" fontId="13" fillId="0" borderId="0" xfId="0" applyNumberFormat="1" applyFont="1" applyAlignment="1">
      <alignment horizontal="left" vertical="center" wrapText="1"/>
    </xf>
    <xf numFmtId="164" fontId="16" fillId="0" borderId="22" xfId="0" applyNumberFormat="1" applyFont="1" applyBorder="1" applyAlignment="1">
      <alignment horizontal="left" vertical="center" wrapText="1"/>
    </xf>
    <xf numFmtId="164" fontId="2" fillId="0" borderId="26" xfId="0" applyNumberFormat="1" applyFont="1" applyBorder="1" applyAlignment="1">
      <alignment horizontal="left" vertical="center" wrapText="1"/>
    </xf>
    <xf numFmtId="0" fontId="3" fillId="0" borderId="3" xfId="0" applyFont="1" applyBorder="1" applyAlignment="1">
      <alignment horizontal="left" vertical="top" wrapText="1"/>
    </xf>
    <xf numFmtId="0" fontId="4" fillId="0" borderId="3" xfId="0" applyFont="1" applyBorder="1" applyAlignment="1">
      <alignment horizontal="left" wrapText="1"/>
    </xf>
    <xf numFmtId="1" fontId="4" fillId="0" borderId="3" xfId="0" applyNumberFormat="1" applyFont="1" applyBorder="1" applyAlignment="1">
      <alignment horizontal="left" wrapText="1"/>
    </xf>
    <xf numFmtId="0" fontId="15" fillId="0" borderId="3" xfId="0" applyFont="1" applyBorder="1" applyAlignment="1">
      <alignment horizontal="center" vertical="center" wrapText="1"/>
    </xf>
    <xf numFmtId="0" fontId="15"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164" fontId="18" fillId="2" borderId="3" xfId="0" applyNumberFormat="1" applyFont="1" applyFill="1" applyBorder="1" applyAlignment="1">
      <alignment horizontal="left" vertical="center" wrapText="1"/>
    </xf>
    <xf numFmtId="164" fontId="18" fillId="2" borderId="3" xfId="1" applyNumberFormat="1" applyFont="1" applyFill="1" applyBorder="1" applyAlignment="1" applyProtection="1">
      <alignment horizontal="left" vertical="center" wrapText="1"/>
    </xf>
    <xf numFmtId="0" fontId="13" fillId="2"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3" xfId="0" applyFont="1" applyBorder="1" applyAlignment="1">
      <alignment vertical="top" wrapText="1"/>
    </xf>
    <xf numFmtId="164" fontId="21" fillId="0" borderId="3" xfId="0" applyNumberFormat="1" applyFont="1" applyBorder="1" applyAlignment="1">
      <alignment horizontal="left" vertical="center" wrapText="1"/>
    </xf>
    <xf numFmtId="164" fontId="21" fillId="0" borderId="3" xfId="1" applyNumberFormat="1" applyFont="1" applyFill="1" applyBorder="1" applyAlignment="1" applyProtection="1">
      <alignment horizontal="left" vertical="center" wrapText="1"/>
    </xf>
    <xf numFmtId="164" fontId="15" fillId="0" borderId="3" xfId="0" applyNumberFormat="1" applyFont="1" applyBorder="1" applyAlignment="1">
      <alignment horizontal="left" vertical="center" wrapText="1"/>
    </xf>
    <xf numFmtId="164" fontId="15" fillId="0" borderId="3" xfId="1" applyNumberFormat="1" applyFont="1" applyFill="1" applyBorder="1" applyAlignment="1" applyProtection="1">
      <alignment horizontal="left" vertical="center" wrapText="1"/>
    </xf>
    <xf numFmtId="164" fontId="15" fillId="2" borderId="3" xfId="0" applyNumberFormat="1" applyFont="1" applyFill="1" applyBorder="1" applyAlignment="1">
      <alignment horizontal="left" vertical="center" wrapText="1"/>
    </xf>
    <xf numFmtId="164" fontId="15" fillId="2" borderId="3" xfId="1" applyNumberFormat="1" applyFont="1" applyFill="1" applyBorder="1" applyAlignment="1" applyProtection="1">
      <alignment horizontal="left" vertical="center" wrapText="1"/>
    </xf>
    <xf numFmtId="164" fontId="6" fillId="0" borderId="3" xfId="0" applyNumberFormat="1" applyFont="1" applyBorder="1" applyAlignment="1">
      <alignment horizontal="left" vertical="center" wrapText="1"/>
    </xf>
    <xf numFmtId="1" fontId="2" fillId="0" borderId="3" xfId="0" applyNumberFormat="1" applyFont="1" applyBorder="1" applyAlignment="1">
      <alignment horizontal="center" vertical="center" wrapText="1"/>
    </xf>
    <xf numFmtId="0" fontId="38" fillId="0" borderId="3" xfId="0" applyFont="1" applyBorder="1" applyAlignment="1">
      <alignment horizontal="center" vertical="center" wrapText="1"/>
    </xf>
    <xf numFmtId="164" fontId="38" fillId="0" borderId="3" xfId="0" applyNumberFormat="1" applyFont="1" applyBorder="1" applyAlignment="1">
      <alignment horizontal="center" vertical="center" wrapText="1"/>
    </xf>
    <xf numFmtId="164" fontId="38" fillId="0" borderId="3" xfId="1" applyNumberFormat="1" applyFont="1" applyFill="1" applyBorder="1" applyAlignment="1" applyProtection="1">
      <alignment horizontal="center" vertical="center" wrapText="1"/>
    </xf>
    <xf numFmtId="164" fontId="38" fillId="0" borderId="32"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41" fillId="0" borderId="3" xfId="0" applyFont="1" applyBorder="1" applyAlignment="1">
      <alignment horizontal="center" vertical="center" wrapText="1"/>
    </xf>
    <xf numFmtId="0" fontId="38" fillId="0" borderId="32" xfId="0" applyFont="1" applyBorder="1" applyAlignment="1">
      <alignment horizontal="center" vertical="center" wrapText="1"/>
    </xf>
    <xf numFmtId="0" fontId="41" fillId="2" borderId="3" xfId="0" applyFont="1" applyFill="1" applyBorder="1" applyAlignment="1">
      <alignment horizontal="center" vertical="center" wrapText="1"/>
    </xf>
    <xf numFmtId="0" fontId="38" fillId="2" borderId="3" xfId="0" applyFont="1" applyFill="1" applyBorder="1" applyAlignment="1">
      <alignment horizontal="center" vertical="center" wrapText="1"/>
    </xf>
    <xf numFmtId="164" fontId="38" fillId="2" borderId="3" xfId="0" applyNumberFormat="1" applyFont="1" applyFill="1" applyBorder="1" applyAlignment="1">
      <alignment horizontal="center" vertical="center" wrapText="1"/>
    </xf>
    <xf numFmtId="164" fontId="38" fillId="2" borderId="3" xfId="1" applyNumberFormat="1" applyFont="1" applyFill="1" applyBorder="1" applyAlignment="1" applyProtection="1">
      <alignment horizontal="center" vertical="center" wrapText="1"/>
    </xf>
    <xf numFmtId="0" fontId="38" fillId="2" borderId="1" xfId="0" applyFont="1" applyFill="1" applyBorder="1" applyAlignment="1">
      <alignment horizontal="center" vertical="center" wrapText="1"/>
    </xf>
    <xf numFmtId="0" fontId="38" fillId="0" borderId="3" xfId="0" applyFont="1" applyBorder="1" applyAlignment="1">
      <alignment vertical="top" wrapText="1"/>
    </xf>
    <xf numFmtId="164" fontId="38" fillId="0" borderId="3" xfId="0" applyNumberFormat="1" applyFont="1" applyBorder="1" applyAlignment="1">
      <alignment horizontal="left" vertical="center" wrapText="1"/>
    </xf>
    <xf numFmtId="164" fontId="38" fillId="0" borderId="3" xfId="1" applyNumberFormat="1" applyFont="1" applyFill="1" applyBorder="1" applyAlignment="1" applyProtection="1">
      <alignment horizontal="left" vertical="center" wrapText="1"/>
    </xf>
    <xf numFmtId="164" fontId="38" fillId="0" borderId="32" xfId="0" applyNumberFormat="1" applyFont="1" applyBorder="1" applyAlignment="1">
      <alignment horizontal="left" vertical="center" wrapText="1"/>
    </xf>
    <xf numFmtId="0" fontId="38" fillId="0" borderId="1" xfId="0" applyFont="1" applyBorder="1" applyAlignment="1">
      <alignment vertical="center" wrapText="1"/>
    </xf>
    <xf numFmtId="164" fontId="38" fillId="0" borderId="33" xfId="0" applyNumberFormat="1" applyFont="1" applyBorder="1" applyAlignment="1">
      <alignment horizontal="left" vertical="center" wrapText="1"/>
    </xf>
    <xf numFmtId="0" fontId="38" fillId="0" borderId="12" xfId="0" applyFont="1" applyBorder="1" applyAlignment="1">
      <alignment vertical="center" wrapText="1"/>
    </xf>
    <xf numFmtId="164" fontId="38" fillId="0" borderId="22" xfId="0" applyNumberFormat="1" applyFont="1" applyBorder="1" applyAlignment="1">
      <alignment horizontal="left" vertical="center" wrapText="1"/>
    </xf>
    <xf numFmtId="0" fontId="38" fillId="0" borderId="11" xfId="0" applyFont="1" applyBorder="1" applyAlignment="1">
      <alignment vertical="center" wrapText="1"/>
    </xf>
    <xf numFmtId="0" fontId="2" fillId="0" borderId="5" xfId="0" applyFont="1" applyBorder="1" applyAlignment="1">
      <alignment horizontal="center" vertical="center" wrapText="1"/>
    </xf>
    <xf numFmtId="1" fontId="2" fillId="0" borderId="3" xfId="0" applyNumberFormat="1" applyFont="1" applyBorder="1" applyAlignment="1">
      <alignment vertical="top" wrapText="1"/>
    </xf>
    <xf numFmtId="0" fontId="42" fillId="0" borderId="3" xfId="0" applyFont="1" applyBorder="1" applyAlignment="1">
      <alignment vertical="top" wrapText="1"/>
    </xf>
    <xf numFmtId="1" fontId="42" fillId="0" borderId="3" xfId="0" applyNumberFormat="1" applyFont="1" applyBorder="1" applyAlignment="1">
      <alignment horizontal="center" vertical="center" wrapText="1"/>
    </xf>
    <xf numFmtId="0" fontId="42" fillId="0" borderId="3" xfId="0" applyFont="1" applyBorder="1" applyAlignment="1">
      <alignment horizontal="center" vertical="center" wrapText="1"/>
    </xf>
    <xf numFmtId="164" fontId="42" fillId="0" borderId="3" xfId="0" applyNumberFormat="1" applyFont="1" applyBorder="1" applyAlignment="1">
      <alignment horizontal="center" vertical="center" wrapText="1"/>
    </xf>
    <xf numFmtId="164" fontId="42" fillId="0" borderId="3" xfId="1" applyNumberFormat="1" applyFont="1" applyFill="1" applyBorder="1" applyAlignment="1" applyProtection="1">
      <alignment horizontal="center" vertical="center" wrapText="1"/>
    </xf>
    <xf numFmtId="164" fontId="42" fillId="0" borderId="32" xfId="0" applyNumberFormat="1" applyFont="1" applyBorder="1" applyAlignment="1">
      <alignment horizontal="left" vertical="center" wrapText="1"/>
    </xf>
    <xf numFmtId="0" fontId="2" fillId="0" borderId="5" xfId="0" applyFont="1" applyBorder="1" applyAlignment="1">
      <alignment vertical="top" wrapText="1"/>
    </xf>
    <xf numFmtId="1" fontId="3" fillId="0" borderId="3" xfId="0" applyNumberFormat="1" applyFont="1" applyBorder="1" applyAlignment="1">
      <alignment horizontal="center" vertical="center" wrapText="1"/>
    </xf>
    <xf numFmtId="1" fontId="38" fillId="0" borderId="3" xfId="0" applyNumberFormat="1" applyFont="1" applyBorder="1" applyAlignment="1">
      <alignment horizontal="center" vertical="center" wrapText="1"/>
    </xf>
    <xf numFmtId="1" fontId="11" fillId="0" borderId="3" xfId="0" applyNumberFormat="1" applyFont="1" applyBorder="1" applyAlignment="1">
      <alignment vertical="top" wrapText="1"/>
    </xf>
    <xf numFmtId="1" fontId="13" fillId="0" borderId="3" xfId="0" applyNumberFormat="1" applyFont="1" applyBorder="1" applyAlignment="1">
      <alignment vertical="top" wrapText="1"/>
    </xf>
    <xf numFmtId="1" fontId="21" fillId="0" borderId="3" xfId="0" applyNumberFormat="1" applyFont="1" applyBorder="1" applyAlignment="1">
      <alignment vertical="top" wrapText="1"/>
    </xf>
    <xf numFmtId="1" fontId="16" fillId="2" borderId="3" xfId="0" applyNumberFormat="1" applyFont="1" applyFill="1" applyBorder="1" applyAlignment="1">
      <alignment vertical="top" wrapText="1"/>
    </xf>
    <xf numFmtId="1" fontId="11" fillId="0" borderId="0" xfId="0" applyNumberFormat="1" applyFont="1" applyAlignment="1">
      <alignment wrapText="1"/>
    </xf>
    <xf numFmtId="1" fontId="2" fillId="0" borderId="0" xfId="0" applyNumberFormat="1" applyFont="1" applyAlignment="1">
      <alignment wrapText="1"/>
    </xf>
    <xf numFmtId="0" fontId="13" fillId="0" borderId="32" xfId="0" applyFont="1" applyBorder="1" applyAlignment="1">
      <alignment vertical="center" wrapText="1"/>
    </xf>
    <xf numFmtId="164" fontId="13" fillId="0" borderId="1" xfId="0" applyNumberFormat="1" applyFont="1" applyBorder="1" applyAlignment="1">
      <alignment horizontal="left" vertical="center" wrapText="1"/>
    </xf>
    <xf numFmtId="0" fontId="16" fillId="0" borderId="3" xfId="0" applyFont="1" applyBorder="1" applyAlignment="1">
      <alignment horizontal="center" vertical="center" wrapText="1"/>
    </xf>
    <xf numFmtId="164" fontId="16" fillId="0" borderId="3" xfId="0" applyNumberFormat="1" applyFont="1" applyBorder="1" applyAlignment="1">
      <alignment horizontal="left" vertical="center" wrapText="1"/>
    </xf>
    <xf numFmtId="164" fontId="16" fillId="0" borderId="3" xfId="1" applyNumberFormat="1" applyFont="1" applyFill="1" applyBorder="1" applyAlignment="1" applyProtection="1">
      <alignment horizontal="left" vertical="center" wrapText="1"/>
    </xf>
    <xf numFmtId="0" fontId="16" fillId="0" borderId="32" xfId="0" applyFont="1" applyBorder="1" applyAlignment="1">
      <alignment vertical="center" wrapText="1"/>
    </xf>
    <xf numFmtId="164" fontId="16" fillId="0" borderId="2" xfId="0" applyNumberFormat="1" applyFont="1" applyBorder="1" applyAlignment="1">
      <alignment horizontal="left" vertical="center" wrapText="1"/>
    </xf>
    <xf numFmtId="164" fontId="16" fillId="0" borderId="1" xfId="0" applyNumberFormat="1" applyFont="1" applyBorder="1" applyAlignment="1">
      <alignment horizontal="left" vertical="center" wrapText="1"/>
    </xf>
    <xf numFmtId="1" fontId="2" fillId="0" borderId="12" xfId="0" applyNumberFormat="1" applyFont="1" applyBorder="1" applyAlignment="1">
      <alignment vertical="top" wrapText="1"/>
    </xf>
    <xf numFmtId="0" fontId="2" fillId="0" borderId="15" xfId="0" applyFont="1" applyBorder="1" applyAlignment="1">
      <alignment horizontal="center" vertical="center" wrapText="1"/>
    </xf>
    <xf numFmtId="164" fontId="21" fillId="0" borderId="3" xfId="0" applyNumberFormat="1" applyFont="1" applyBorder="1" applyAlignment="1">
      <alignment horizontal="center" vertical="center" wrapText="1"/>
    </xf>
    <xf numFmtId="164" fontId="21" fillId="0" borderId="3" xfId="1" applyNumberFormat="1" applyFont="1" applyFill="1" applyBorder="1" applyAlignment="1" applyProtection="1">
      <alignment horizontal="center" vertical="center" wrapText="1"/>
    </xf>
    <xf numFmtId="0" fontId="43" fillId="0" borderId="3" xfId="0" applyFont="1" applyBorder="1" applyAlignment="1">
      <alignment horizontal="center" vertical="center" wrapText="1"/>
    </xf>
    <xf numFmtId="0" fontId="43" fillId="0" borderId="3" xfId="0" applyFont="1" applyBorder="1" applyAlignment="1">
      <alignment horizontal="left" vertical="center" wrapText="1"/>
    </xf>
    <xf numFmtId="164" fontId="43" fillId="0" borderId="3" xfId="0" applyNumberFormat="1" applyFont="1" applyBorder="1" applyAlignment="1">
      <alignment horizontal="center" vertical="center" wrapText="1"/>
    </xf>
    <xf numFmtId="0" fontId="45" fillId="0" borderId="3" xfId="0" applyFont="1" applyBorder="1" applyAlignment="1">
      <alignment horizontal="center" vertical="center" wrapText="1"/>
    </xf>
    <xf numFmtId="0" fontId="21" fillId="0" borderId="3" xfId="0" applyFont="1" applyBorder="1" applyAlignment="1">
      <alignment wrapText="1"/>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48" fillId="0" borderId="3" xfId="0" applyFont="1" applyBorder="1" applyAlignment="1">
      <alignment horizontal="center" vertical="center" wrapText="1"/>
    </xf>
    <xf numFmtId="0" fontId="29" fillId="0" borderId="3" xfId="0" applyFont="1" applyBorder="1" applyAlignment="1">
      <alignment horizontal="center" vertical="center" wrapText="1"/>
    </xf>
    <xf numFmtId="0" fontId="38" fillId="0" borderId="3" xfId="0" applyFont="1" applyBorder="1" applyAlignment="1">
      <alignment horizontal="left" vertical="center" wrapText="1"/>
    </xf>
    <xf numFmtId="0" fontId="45" fillId="0" borderId="3" xfId="0" applyFont="1" applyBorder="1" applyAlignment="1">
      <alignment horizontal="left" vertical="center" wrapText="1"/>
    </xf>
    <xf numFmtId="0" fontId="33" fillId="0" borderId="3" xfId="0" applyFont="1" applyBorder="1" applyAlignment="1">
      <alignment horizontal="center" wrapText="1"/>
    </xf>
    <xf numFmtId="0" fontId="32" fillId="0" borderId="3" xfId="0" applyFont="1" applyBorder="1" applyAlignment="1">
      <alignment horizontal="center" vertical="center" wrapText="1"/>
    </xf>
    <xf numFmtId="164" fontId="32" fillId="0" borderId="3" xfId="0" applyNumberFormat="1" applyFont="1" applyBorder="1" applyAlignment="1">
      <alignment horizontal="center" vertical="center" wrapText="1"/>
    </xf>
    <xf numFmtId="0" fontId="31" fillId="0" borderId="3" xfId="0" applyFont="1" applyBorder="1" applyAlignment="1">
      <alignment horizontal="center" wrapText="1"/>
    </xf>
    <xf numFmtId="0" fontId="52" fillId="0" borderId="3" xfId="0" applyFont="1" applyBorder="1" applyAlignment="1">
      <alignment wrapText="1"/>
    </xf>
    <xf numFmtId="0" fontId="32" fillId="0" borderId="3" xfId="0" applyFont="1" applyBorder="1" applyAlignment="1">
      <alignment horizontal="left" vertical="center" wrapText="1"/>
    </xf>
    <xf numFmtId="1" fontId="32" fillId="0" borderId="3" xfId="0" applyNumberFormat="1" applyFont="1" applyBorder="1" applyAlignment="1">
      <alignment horizontal="center" vertical="center" wrapText="1"/>
    </xf>
    <xf numFmtId="0" fontId="53" fillId="0" borderId="3" xfId="0" applyFont="1" applyBorder="1" applyAlignment="1">
      <alignment wrapText="1"/>
    </xf>
    <xf numFmtId="0" fontId="34" fillId="0" borderId="3"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3" xfId="0" applyFont="1" applyBorder="1" applyAlignment="1">
      <alignment horizontal="left" vertical="center" wrapText="1"/>
    </xf>
    <xf numFmtId="1" fontId="54" fillId="0" borderId="3" xfId="0" applyNumberFormat="1" applyFont="1" applyBorder="1" applyAlignment="1">
      <alignment horizontal="center" vertical="center" wrapText="1"/>
    </xf>
    <xf numFmtId="164" fontId="54" fillId="0" borderId="3" xfId="0" applyNumberFormat="1" applyFont="1" applyBorder="1" applyAlignment="1">
      <alignment horizontal="center" vertical="center" wrapText="1"/>
    </xf>
    <xf numFmtId="0" fontId="55" fillId="0" borderId="3" xfId="0" applyFont="1" applyBorder="1" applyAlignment="1">
      <alignment wrapText="1"/>
    </xf>
    <xf numFmtId="165" fontId="32" fillId="0" borderId="3" xfId="0" applyNumberFormat="1" applyFont="1" applyBorder="1" applyAlignment="1">
      <alignment horizontal="center" vertical="center" wrapText="1"/>
    </xf>
    <xf numFmtId="0" fontId="49" fillId="0" borderId="3" xfId="0" applyFont="1" applyBorder="1" applyAlignment="1">
      <alignment horizontal="center" vertical="center" wrapText="1"/>
    </xf>
    <xf numFmtId="1" fontId="49" fillId="0" borderId="3" xfId="0" applyNumberFormat="1" applyFont="1" applyBorder="1" applyAlignment="1">
      <alignment horizontal="center" vertical="center" wrapText="1"/>
    </xf>
    <xf numFmtId="1" fontId="45" fillId="0" borderId="3" xfId="0" applyNumberFormat="1" applyFont="1" applyBorder="1" applyAlignment="1">
      <alignment horizontal="center" vertical="center" wrapText="1"/>
    </xf>
    <xf numFmtId="168" fontId="32" fillId="0" borderId="3" xfId="0" applyNumberFormat="1" applyFont="1" applyBorder="1" applyAlignment="1">
      <alignment horizontal="center" vertical="center" wrapText="1"/>
    </xf>
    <xf numFmtId="168" fontId="34" fillId="0" borderId="3" xfId="0" applyNumberFormat="1" applyFont="1" applyBorder="1" applyAlignment="1">
      <alignment horizontal="center" vertical="center" wrapText="1"/>
    </xf>
    <xf numFmtId="168" fontId="54" fillId="0" borderId="3" xfId="0" applyNumberFormat="1" applyFont="1" applyBorder="1" applyAlignment="1">
      <alignment horizontal="center" vertical="center" wrapText="1"/>
    </xf>
    <xf numFmtId="168" fontId="49" fillId="0" borderId="3" xfId="0" applyNumberFormat="1" applyFont="1" applyBorder="1" applyAlignment="1">
      <alignment horizontal="center" vertical="center" wrapText="1"/>
    </xf>
    <xf numFmtId="168" fontId="32" fillId="0" borderId="3" xfId="1" applyNumberFormat="1" applyFont="1" applyFill="1" applyBorder="1" applyAlignment="1" applyProtection="1">
      <alignment horizontal="center" vertical="center" wrapText="1"/>
    </xf>
    <xf numFmtId="168" fontId="34" fillId="0" borderId="3" xfId="1" applyNumberFormat="1" applyFont="1" applyFill="1" applyBorder="1" applyAlignment="1" applyProtection="1">
      <alignment horizontal="center" vertical="center" wrapText="1"/>
    </xf>
    <xf numFmtId="168" fontId="54" fillId="0" borderId="3" xfId="1" applyNumberFormat="1" applyFont="1" applyFill="1" applyBorder="1" applyAlignment="1" applyProtection="1">
      <alignment horizontal="center" vertical="center" wrapText="1"/>
    </xf>
    <xf numFmtId="1" fontId="32" fillId="0" borderId="3" xfId="0" quotePrefix="1" applyNumberFormat="1" applyFont="1" applyBorder="1" applyAlignment="1">
      <alignment horizontal="center" vertical="center" wrapText="1"/>
    </xf>
    <xf numFmtId="0" fontId="53" fillId="3" borderId="3" xfId="0" applyFont="1" applyFill="1" applyBorder="1" applyAlignment="1">
      <alignment wrapText="1"/>
    </xf>
    <xf numFmtId="0" fontId="10" fillId="3" borderId="3" xfId="0" applyFont="1" applyFill="1" applyBorder="1" applyAlignment="1">
      <alignment wrapText="1"/>
    </xf>
    <xf numFmtId="0" fontId="53" fillId="4" borderId="3" xfId="0" applyFont="1" applyFill="1" applyBorder="1" applyAlignment="1">
      <alignment wrapText="1"/>
    </xf>
    <xf numFmtId="0" fontId="10" fillId="4" borderId="3" xfId="0" applyFont="1" applyFill="1" applyBorder="1" applyAlignment="1">
      <alignment wrapText="1"/>
    </xf>
    <xf numFmtId="0" fontId="6" fillId="4" borderId="3" xfId="0" applyFont="1" applyFill="1" applyBorder="1" applyAlignment="1">
      <alignment wrapText="1"/>
    </xf>
    <xf numFmtId="0" fontId="53" fillId="6" borderId="3" xfId="0" applyFont="1" applyFill="1" applyBorder="1" applyAlignment="1">
      <alignment wrapText="1"/>
    </xf>
    <xf numFmtId="0" fontId="32" fillId="0" borderId="12" xfId="0" applyFont="1" applyBorder="1" applyAlignment="1">
      <alignment horizontal="center" vertical="center" wrapText="1"/>
    </xf>
    <xf numFmtId="0" fontId="6" fillId="0" borderId="3" xfId="0" applyFont="1" applyBorder="1" applyAlignment="1">
      <alignment horizontal="center" wrapText="1"/>
    </xf>
    <xf numFmtId="0" fontId="10" fillId="0" borderId="3" xfId="0" applyFont="1" applyBorder="1" applyAlignment="1">
      <alignment horizontal="center" wrapText="1"/>
    </xf>
    <xf numFmtId="0" fontId="32" fillId="5" borderId="12" xfId="0" applyFont="1" applyFill="1" applyBorder="1" applyAlignment="1">
      <alignment vertical="center" wrapText="1"/>
    </xf>
    <xf numFmtId="0" fontId="32" fillId="5" borderId="15" xfId="0" applyFont="1" applyFill="1" applyBorder="1" applyAlignment="1">
      <alignment vertical="center" wrapText="1"/>
    </xf>
    <xf numFmtId="0" fontId="32" fillId="5" borderId="5" xfId="0" applyFont="1" applyFill="1" applyBorder="1" applyAlignment="1">
      <alignment vertical="center" wrapText="1"/>
    </xf>
    <xf numFmtId="0" fontId="32" fillId="0" borderId="15" xfId="0" applyFont="1" applyBorder="1" applyAlignment="1">
      <alignment horizontal="center" vertical="center" wrapText="1"/>
    </xf>
    <xf numFmtId="0" fontId="32" fillId="7" borderId="3" xfId="0" applyFont="1" applyFill="1" applyBorder="1" applyAlignment="1">
      <alignment horizontal="center" vertical="center" wrapText="1"/>
    </xf>
    <xf numFmtId="168" fontId="32" fillId="7" borderId="3" xfId="0" applyNumberFormat="1" applyFont="1" applyFill="1" applyBorder="1" applyAlignment="1">
      <alignment horizontal="center" vertical="center" wrapText="1"/>
    </xf>
    <xf numFmtId="168" fontId="32" fillId="7" borderId="3" xfId="1" applyNumberFormat="1" applyFont="1" applyFill="1" applyBorder="1" applyAlignment="1" applyProtection="1">
      <alignment horizontal="center" vertical="center" wrapText="1"/>
    </xf>
    <xf numFmtId="1" fontId="32" fillId="7" borderId="12" xfId="0" applyNumberFormat="1" applyFont="1" applyFill="1" applyBorder="1" applyAlignment="1">
      <alignment horizontal="center" vertical="center" wrapText="1"/>
    </xf>
    <xf numFmtId="164" fontId="32" fillId="7" borderId="3" xfId="0" applyNumberFormat="1" applyFont="1" applyFill="1" applyBorder="1" applyAlignment="1">
      <alignment horizontal="center" vertical="center" wrapText="1"/>
    </xf>
    <xf numFmtId="0" fontId="32" fillId="7" borderId="12" xfId="0" applyFont="1" applyFill="1" applyBorder="1" applyAlignment="1">
      <alignment horizontal="center" vertical="center" wrapText="1"/>
    </xf>
    <xf numFmtId="1" fontId="32" fillId="7" borderId="3" xfId="0" applyNumberFormat="1" applyFont="1" applyFill="1" applyBorder="1" applyAlignment="1">
      <alignment horizontal="center" vertical="center" wrapText="1"/>
    </xf>
    <xf numFmtId="0" fontId="32" fillId="0" borderId="3" xfId="0" applyFont="1" applyBorder="1" applyAlignment="1">
      <alignment horizontal="center" wrapText="1"/>
    </xf>
    <xf numFmtId="0" fontId="32" fillId="7" borderId="15" xfId="0" applyFont="1" applyFill="1" applyBorder="1" applyAlignment="1">
      <alignment horizontal="center" vertical="center" wrapText="1"/>
    </xf>
    <xf numFmtId="0" fontId="32" fillId="7" borderId="12" xfId="0" applyFont="1" applyFill="1" applyBorder="1" applyAlignment="1">
      <alignment horizontal="center" vertical="center"/>
    </xf>
    <xf numFmtId="0" fontId="32" fillId="0" borderId="12" xfId="0" applyFont="1" applyBorder="1" applyAlignment="1">
      <alignment horizontal="center" vertical="center"/>
    </xf>
    <xf numFmtId="0" fontId="34" fillId="7" borderId="3" xfId="0" applyFont="1" applyFill="1" applyBorder="1" applyAlignment="1">
      <alignment horizontal="center" vertical="center" wrapText="1"/>
    </xf>
    <xf numFmtId="168" fontId="34" fillId="7" borderId="3" xfId="0" applyNumberFormat="1" applyFont="1" applyFill="1" applyBorder="1" applyAlignment="1">
      <alignment horizontal="center" vertical="center" wrapText="1"/>
    </xf>
    <xf numFmtId="168" fontId="34" fillId="7" borderId="3" xfId="1" applyNumberFormat="1" applyFont="1" applyFill="1" applyBorder="1" applyAlignment="1" applyProtection="1">
      <alignment horizontal="center" vertical="center" wrapText="1"/>
    </xf>
    <xf numFmtId="0" fontId="41" fillId="7" borderId="3" xfId="0" applyFont="1" applyFill="1" applyBorder="1" applyAlignment="1">
      <alignment horizontal="center" vertical="center" wrapText="1"/>
    </xf>
    <xf numFmtId="1" fontId="32" fillId="7" borderId="41" xfId="0" applyNumberFormat="1" applyFont="1" applyFill="1" applyBorder="1" applyAlignment="1">
      <alignment vertical="center" wrapText="1"/>
    </xf>
    <xf numFmtId="164" fontId="34" fillId="7" borderId="3" xfId="0" applyNumberFormat="1" applyFont="1" applyFill="1" applyBorder="1" applyAlignment="1">
      <alignment horizontal="center" vertical="center" wrapText="1"/>
    </xf>
    <xf numFmtId="164" fontId="34" fillId="0" borderId="3" xfId="0" applyNumberFormat="1" applyFont="1" applyBorder="1" applyAlignment="1">
      <alignment horizontal="center" vertical="center" wrapText="1"/>
    </xf>
    <xf numFmtId="1" fontId="32" fillId="7" borderId="15" xfId="0" applyNumberFormat="1" applyFont="1" applyFill="1" applyBorder="1" applyAlignment="1">
      <alignment horizontal="center" vertical="center" wrapText="1"/>
    </xf>
    <xf numFmtId="0" fontId="10" fillId="7" borderId="3" xfId="0" applyFont="1" applyFill="1" applyBorder="1" applyAlignment="1">
      <alignment wrapText="1"/>
    </xf>
    <xf numFmtId="0" fontId="32" fillId="8" borderId="3" xfId="0" applyFont="1" applyFill="1" applyBorder="1" applyAlignment="1">
      <alignment horizontal="center" vertical="center" wrapText="1"/>
    </xf>
    <xf numFmtId="0" fontId="34" fillId="8" borderId="3" xfId="0" applyFont="1" applyFill="1" applyBorder="1" applyAlignment="1">
      <alignment horizontal="center" vertical="center" wrapText="1"/>
    </xf>
    <xf numFmtId="0" fontId="21" fillId="7" borderId="3" xfId="0" applyFont="1" applyFill="1" applyBorder="1" applyAlignment="1">
      <alignment wrapText="1"/>
    </xf>
    <xf numFmtId="0" fontId="54" fillId="7" borderId="3" xfId="0" applyFont="1" applyFill="1" applyBorder="1" applyAlignment="1">
      <alignment horizontal="center" vertical="center" wrapText="1"/>
    </xf>
    <xf numFmtId="164" fontId="54" fillId="7" borderId="3" xfId="0" applyNumberFormat="1" applyFont="1" applyFill="1" applyBorder="1" applyAlignment="1">
      <alignment horizontal="center" vertical="center" wrapText="1"/>
    </xf>
    <xf numFmtId="167" fontId="32" fillId="7" borderId="3" xfId="0" applyNumberFormat="1" applyFont="1" applyFill="1" applyBorder="1" applyAlignment="1">
      <alignment horizontal="center" vertical="center" wrapText="1"/>
    </xf>
    <xf numFmtId="2" fontId="32" fillId="7" borderId="3" xfId="0" applyNumberFormat="1" applyFont="1" applyFill="1" applyBorder="1" applyAlignment="1">
      <alignment horizontal="center" vertical="center" wrapText="1"/>
    </xf>
    <xf numFmtId="0" fontId="33" fillId="0" borderId="3" xfId="0" applyFont="1" applyBorder="1" applyAlignment="1">
      <alignment wrapText="1"/>
    </xf>
    <xf numFmtId="0" fontId="29" fillId="0" borderId="3" xfId="0" applyFont="1" applyBorder="1" applyAlignment="1">
      <alignment horizontal="left" vertical="top" wrapText="1"/>
    </xf>
    <xf numFmtId="167" fontId="32" fillId="0" borderId="3" xfId="0" applyNumberFormat="1" applyFont="1" applyBorder="1" applyAlignment="1">
      <alignment horizontal="center" vertical="center" wrapText="1"/>
    </xf>
    <xf numFmtId="164" fontId="32" fillId="0" borderId="3" xfId="1" applyNumberFormat="1" applyFont="1" applyFill="1" applyBorder="1" applyAlignment="1" applyProtection="1">
      <alignment horizontal="center" vertical="center" wrapText="1"/>
    </xf>
    <xf numFmtId="0" fontId="33" fillId="4" borderId="3" xfId="0" applyFont="1" applyFill="1" applyBorder="1" applyAlignment="1">
      <alignment horizontal="center" wrapText="1"/>
    </xf>
    <xf numFmtId="0" fontId="33" fillId="4" borderId="3" xfId="0" applyFont="1" applyFill="1" applyBorder="1" applyAlignment="1">
      <alignment wrapText="1"/>
    </xf>
    <xf numFmtId="164" fontId="49" fillId="0" borderId="3" xfId="0" applyNumberFormat="1" applyFont="1" applyBorder="1" applyAlignment="1">
      <alignment horizontal="center" vertical="center" wrapText="1"/>
    </xf>
    <xf numFmtId="167" fontId="34" fillId="0" borderId="3" xfId="0" applyNumberFormat="1" applyFont="1" applyBorder="1" applyAlignment="1">
      <alignment horizontal="center" vertical="center" wrapText="1"/>
    </xf>
    <xf numFmtId="0" fontId="32" fillId="0" borderId="3" xfId="0" applyFont="1" applyBorder="1" applyAlignment="1">
      <alignment horizontal="center" vertical="top" wrapText="1"/>
    </xf>
    <xf numFmtId="166" fontId="34" fillId="0" borderId="3" xfId="0" applyNumberFormat="1" applyFont="1" applyBorder="1" applyAlignment="1">
      <alignment horizontal="center" vertical="center" wrapText="1"/>
    </xf>
    <xf numFmtId="167" fontId="34" fillId="7" borderId="3" xfId="0" applyNumberFormat="1" applyFont="1" applyFill="1" applyBorder="1" applyAlignment="1">
      <alignment horizontal="center" vertical="center" wrapText="1"/>
    </xf>
    <xf numFmtId="164" fontId="49" fillId="7" borderId="3" xfId="0" applyNumberFormat="1" applyFont="1" applyFill="1" applyBorder="1" applyAlignment="1">
      <alignment horizontal="center" vertical="center" wrapText="1"/>
    </xf>
    <xf numFmtId="164" fontId="32" fillId="7" borderId="3" xfId="1" applyNumberFormat="1" applyFont="1" applyFill="1" applyBorder="1" applyAlignment="1" applyProtection="1">
      <alignment horizontal="center" vertical="center" wrapText="1"/>
    </xf>
    <xf numFmtId="166" fontId="34" fillId="7" borderId="3" xfId="0" applyNumberFormat="1" applyFont="1" applyFill="1" applyBorder="1" applyAlignment="1">
      <alignment horizontal="center" vertical="center" wrapText="1"/>
    </xf>
    <xf numFmtId="0" fontId="32" fillId="7" borderId="3" xfId="0" applyFont="1" applyFill="1" applyBorder="1" applyAlignment="1">
      <alignment horizontal="center" vertical="top" wrapText="1"/>
    </xf>
    <xf numFmtId="164" fontId="34" fillId="0" borderId="3" xfId="1" applyNumberFormat="1" applyFont="1" applyFill="1" applyBorder="1" applyAlignment="1" applyProtection="1">
      <alignment horizontal="center" vertical="center" wrapText="1"/>
    </xf>
    <xf numFmtId="0" fontId="34" fillId="0" borderId="3" xfId="0" applyFont="1" applyBorder="1" applyAlignment="1">
      <alignment horizontal="center" vertical="top" wrapText="1"/>
    </xf>
    <xf numFmtId="167" fontId="32" fillId="8" borderId="3" xfId="0" applyNumberFormat="1" applyFont="1" applyFill="1" applyBorder="1" applyAlignment="1">
      <alignment horizontal="center" vertical="center" wrapText="1"/>
    </xf>
    <xf numFmtId="164" fontId="32" fillId="8" borderId="3" xfId="0" applyNumberFormat="1" applyFont="1" applyFill="1" applyBorder="1" applyAlignment="1">
      <alignment horizontal="center" vertical="center" wrapText="1"/>
    </xf>
    <xf numFmtId="164" fontId="49" fillId="8" borderId="3" xfId="0" applyNumberFormat="1" applyFont="1" applyFill="1" applyBorder="1" applyAlignment="1">
      <alignment horizontal="center" vertical="center" wrapText="1"/>
    </xf>
    <xf numFmtId="164" fontId="32" fillId="8" borderId="3" xfId="1" applyNumberFormat="1" applyFont="1" applyFill="1" applyBorder="1" applyAlignment="1" applyProtection="1">
      <alignment horizontal="center" vertical="center" wrapText="1"/>
    </xf>
    <xf numFmtId="0" fontId="32" fillId="8" borderId="3" xfId="0" applyFont="1" applyFill="1" applyBorder="1" applyAlignment="1">
      <alignment horizontal="center" vertical="top" wrapText="1"/>
    </xf>
    <xf numFmtId="0" fontId="32" fillId="5" borderId="3" xfId="0" applyFont="1" applyFill="1" applyBorder="1" applyAlignment="1">
      <alignment horizontal="center" vertical="top" wrapText="1"/>
    </xf>
    <xf numFmtId="166" fontId="32" fillId="0" borderId="3" xfId="0" applyNumberFormat="1" applyFont="1" applyBorder="1" applyAlignment="1">
      <alignment horizontal="center" vertical="center" wrapText="1"/>
    </xf>
    <xf numFmtId="2" fontId="34" fillId="0" borderId="3" xfId="0" applyNumberFormat="1" applyFont="1" applyBorder="1" applyAlignment="1">
      <alignment horizontal="center" vertical="center" wrapText="1"/>
    </xf>
    <xf numFmtId="166" fontId="34" fillId="0" borderId="3" xfId="1" applyNumberFormat="1" applyFont="1" applyFill="1" applyBorder="1" applyAlignment="1" applyProtection="1">
      <alignment horizontal="center" vertical="center" wrapText="1"/>
    </xf>
    <xf numFmtId="168" fontId="34" fillId="8" borderId="3" xfId="0" applyNumberFormat="1" applyFont="1" applyFill="1" applyBorder="1" applyAlignment="1">
      <alignment horizontal="center" vertical="center" wrapText="1"/>
    </xf>
    <xf numFmtId="0" fontId="34" fillId="8" borderId="3" xfId="0" applyFont="1" applyFill="1" applyBorder="1" applyAlignment="1">
      <alignment horizontal="center" vertical="top" wrapText="1"/>
    </xf>
    <xf numFmtId="0" fontId="34" fillId="5" borderId="3" xfId="0" applyFont="1" applyFill="1" applyBorder="1" applyAlignment="1">
      <alignment horizontal="center" vertical="top" wrapText="1"/>
    </xf>
    <xf numFmtId="164" fontId="34" fillId="8" borderId="3" xfId="1" applyNumberFormat="1" applyFont="1" applyFill="1" applyBorder="1" applyAlignment="1" applyProtection="1">
      <alignment horizontal="center" vertical="center" wrapText="1"/>
    </xf>
    <xf numFmtId="2" fontId="34" fillId="8" borderId="3" xfId="0" applyNumberFormat="1" applyFont="1" applyFill="1" applyBorder="1" applyAlignment="1">
      <alignment horizontal="center" vertical="center" wrapText="1"/>
    </xf>
    <xf numFmtId="164" fontId="34" fillId="8" borderId="3" xfId="0" applyNumberFormat="1" applyFont="1" applyFill="1" applyBorder="1" applyAlignment="1">
      <alignment horizontal="center" vertical="center" wrapText="1"/>
    </xf>
    <xf numFmtId="166" fontId="34" fillId="8" borderId="3" xfId="1" applyNumberFormat="1" applyFont="1" applyFill="1" applyBorder="1" applyAlignment="1" applyProtection="1">
      <alignment horizontal="center" vertical="center" wrapText="1"/>
    </xf>
    <xf numFmtId="0" fontId="32" fillId="4" borderId="3" xfId="0" applyFont="1" applyFill="1" applyBorder="1" applyAlignment="1">
      <alignment horizontal="center" vertical="center" wrapText="1"/>
    </xf>
    <xf numFmtId="0" fontId="32" fillId="4" borderId="3" xfId="0" applyFont="1" applyFill="1" applyBorder="1" applyAlignment="1">
      <alignment horizontal="center" vertical="top" wrapText="1"/>
    </xf>
    <xf numFmtId="166" fontId="32" fillId="8" borderId="3" xfId="0" applyNumberFormat="1" applyFont="1" applyFill="1" applyBorder="1" applyAlignment="1">
      <alignment horizontal="center" vertical="center" wrapText="1"/>
    </xf>
    <xf numFmtId="0" fontId="30" fillId="4" borderId="3" xfId="0" applyFont="1" applyFill="1" applyBorder="1" applyAlignment="1">
      <alignment horizontal="center" wrapText="1"/>
    </xf>
    <xf numFmtId="0" fontId="35" fillId="4" borderId="3" xfId="0" applyFont="1" applyFill="1" applyBorder="1" applyAlignment="1">
      <alignment wrapText="1"/>
    </xf>
    <xf numFmtId="0" fontId="34" fillId="7" borderId="3" xfId="0" applyFont="1" applyFill="1" applyBorder="1" applyAlignment="1">
      <alignment horizontal="center" vertical="top" wrapText="1"/>
    </xf>
    <xf numFmtId="2" fontId="32" fillId="0" borderId="3" xfId="0" applyNumberFormat="1" applyFont="1" applyBorder="1" applyAlignment="1">
      <alignment horizontal="center" vertical="center" wrapText="1"/>
    </xf>
    <xf numFmtId="164" fontId="34" fillId="7" borderId="3" xfId="1" applyNumberFormat="1" applyFont="1" applyFill="1" applyBorder="1" applyAlignment="1" applyProtection="1">
      <alignment horizontal="center" vertical="center" wrapText="1"/>
    </xf>
    <xf numFmtId="0" fontId="37" fillId="0" borderId="3" xfId="0" applyFont="1" applyBorder="1" applyAlignment="1">
      <alignment wrapText="1"/>
    </xf>
    <xf numFmtId="0" fontId="33" fillId="7" borderId="3" xfId="0" applyFont="1" applyFill="1" applyBorder="1" applyAlignment="1">
      <alignment wrapText="1"/>
    </xf>
    <xf numFmtId="0" fontId="32" fillId="5" borderId="1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7" borderId="12"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0" borderId="12"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34" fillId="0" borderId="3" xfId="0" applyFont="1" applyBorder="1" applyAlignment="1">
      <alignment horizontal="center" vertical="center" wrapText="1"/>
    </xf>
    <xf numFmtId="0" fontId="32" fillId="5" borderId="3"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4" fillId="8" borderId="3" xfId="0" applyFont="1" applyFill="1" applyBorder="1" applyAlignment="1">
      <alignment horizontal="center" vertical="center" wrapText="1"/>
    </xf>
    <xf numFmtId="0" fontId="29" fillId="0" borderId="3" xfId="0" applyFont="1" applyBorder="1" applyAlignment="1">
      <alignment horizontal="center" vertical="top" wrapText="1"/>
    </xf>
    <xf numFmtId="167" fontId="32" fillId="7" borderId="3" xfId="0" applyNumberFormat="1" applyFont="1" applyFill="1" applyBorder="1" applyAlignment="1">
      <alignment horizontal="center" vertical="center" wrapText="1"/>
    </xf>
    <xf numFmtId="164" fontId="32" fillId="7" borderId="3" xfId="0" applyNumberFormat="1" applyFont="1" applyFill="1" applyBorder="1" applyAlignment="1">
      <alignment horizontal="center" vertical="center" wrapText="1"/>
    </xf>
    <xf numFmtId="0" fontId="29" fillId="0" borderId="3" xfId="0" applyFont="1" applyBorder="1" applyAlignment="1">
      <alignment horizontal="center" vertical="center" wrapText="1"/>
    </xf>
    <xf numFmtId="167" fontId="32" fillId="8" borderId="3" xfId="0" applyNumberFormat="1" applyFont="1" applyFill="1" applyBorder="1" applyAlignment="1">
      <alignment horizontal="center" vertical="center" wrapText="1"/>
    </xf>
    <xf numFmtId="164" fontId="32" fillId="8" borderId="3" xfId="0" applyNumberFormat="1" applyFont="1" applyFill="1" applyBorder="1" applyAlignment="1">
      <alignment horizontal="center" vertical="center" wrapText="1"/>
    </xf>
    <xf numFmtId="0" fontId="34" fillId="7" borderId="3" xfId="0" applyFont="1" applyFill="1" applyBorder="1" applyAlignment="1">
      <alignment horizontal="center" vertical="center" wrapText="1"/>
    </xf>
    <xf numFmtId="1" fontId="32" fillId="0" borderId="12" xfId="0" applyNumberFormat="1" applyFont="1" applyBorder="1" applyAlignment="1">
      <alignment horizontal="center" vertical="center" wrapText="1"/>
    </xf>
    <xf numFmtId="1" fontId="32" fillId="0" borderId="5" xfId="0" applyNumberFormat="1" applyFont="1" applyBorder="1" applyAlignment="1">
      <alignment horizontal="center" vertical="center" wrapText="1"/>
    </xf>
    <xf numFmtId="1" fontId="32" fillId="0" borderId="15" xfId="0" applyNumberFormat="1" applyFont="1" applyBorder="1" applyAlignment="1">
      <alignment horizontal="center" vertical="center" wrapText="1"/>
    </xf>
    <xf numFmtId="1" fontId="32" fillId="7" borderId="12" xfId="0" applyNumberFormat="1" applyFont="1" applyFill="1" applyBorder="1" applyAlignment="1">
      <alignment horizontal="center" vertical="center" wrapText="1"/>
    </xf>
    <xf numFmtId="1" fontId="32" fillId="7" borderId="15" xfId="0" applyNumberFormat="1" applyFont="1" applyFill="1" applyBorder="1" applyAlignment="1">
      <alignment horizontal="center" vertical="center" wrapText="1"/>
    </xf>
    <xf numFmtId="1" fontId="32" fillId="7" borderId="5" xfId="0" applyNumberFormat="1" applyFont="1" applyFill="1" applyBorder="1" applyAlignment="1">
      <alignment horizontal="center" vertical="center" wrapText="1"/>
    </xf>
    <xf numFmtId="0" fontId="32" fillId="0" borderId="3" xfId="0" applyFont="1" applyBorder="1" applyAlignment="1">
      <alignment horizontal="left" vertical="center" wrapText="1"/>
    </xf>
    <xf numFmtId="1" fontId="32" fillId="0" borderId="3" xfId="0" applyNumberFormat="1" applyFont="1" applyBorder="1" applyAlignment="1">
      <alignment horizontal="center" vertical="center" wrapText="1"/>
    </xf>
    <xf numFmtId="0" fontId="32" fillId="5" borderId="12" xfId="0" applyFont="1" applyFill="1" applyBorder="1" applyAlignment="1">
      <alignment horizontal="left" vertical="center" wrapText="1"/>
    </xf>
    <xf numFmtId="0" fontId="32" fillId="5" borderId="5" xfId="0" applyFont="1" applyFill="1" applyBorder="1" applyAlignment="1">
      <alignment horizontal="left" vertical="center" wrapText="1"/>
    </xf>
    <xf numFmtId="168" fontId="32" fillId="7" borderId="40" xfId="0" applyNumberFormat="1" applyFont="1" applyFill="1" applyBorder="1" applyAlignment="1">
      <alignment horizontal="center" vertical="center" wrapText="1"/>
    </xf>
    <xf numFmtId="168" fontId="32" fillId="7" borderId="41" xfId="0" applyNumberFormat="1" applyFont="1" applyFill="1" applyBorder="1" applyAlignment="1">
      <alignment horizontal="center" vertical="center" wrapText="1"/>
    </xf>
    <xf numFmtId="168" fontId="32" fillId="7" borderId="30" xfId="0" applyNumberFormat="1" applyFont="1" applyFill="1" applyBorder="1" applyAlignment="1">
      <alignment horizontal="center" vertical="center" wrapText="1"/>
    </xf>
    <xf numFmtId="0" fontId="32" fillId="7" borderId="40" xfId="0" applyFont="1" applyFill="1" applyBorder="1" applyAlignment="1">
      <alignment horizontal="center" vertical="center" wrapText="1"/>
    </xf>
    <xf numFmtId="0" fontId="32" fillId="7" borderId="41" xfId="0" applyFont="1" applyFill="1" applyBorder="1" applyAlignment="1">
      <alignment horizontal="center" vertical="center" wrapText="1"/>
    </xf>
    <xf numFmtId="0" fontId="32" fillId="7" borderId="30" xfId="0" applyFont="1" applyFill="1" applyBorder="1" applyAlignment="1">
      <alignment horizontal="center" vertical="center" wrapText="1"/>
    </xf>
    <xf numFmtId="0" fontId="32" fillId="5" borderId="15" xfId="0" applyFont="1" applyFill="1" applyBorder="1" applyAlignment="1">
      <alignment horizontal="left" vertical="center" wrapText="1"/>
    </xf>
    <xf numFmtId="1" fontId="32" fillId="7" borderId="3" xfId="0" applyNumberFormat="1" applyFont="1" applyFill="1" applyBorder="1" applyAlignment="1">
      <alignment horizontal="center" vertical="center" wrapText="1"/>
    </xf>
    <xf numFmtId="0" fontId="32" fillId="5" borderId="3" xfId="0" applyFont="1" applyFill="1" applyBorder="1" applyAlignment="1">
      <alignment horizontal="left" vertical="center" wrapText="1"/>
    </xf>
    <xf numFmtId="0" fontId="32" fillId="0" borderId="12" xfId="0" applyFont="1" applyBorder="1" applyAlignment="1">
      <alignment horizontal="left" vertical="center" wrapText="1"/>
    </xf>
    <xf numFmtId="0" fontId="32" fillId="0" borderId="15" xfId="0" applyFont="1" applyBorder="1" applyAlignment="1">
      <alignment horizontal="left" vertical="center" wrapText="1"/>
    </xf>
    <xf numFmtId="0" fontId="32" fillId="0" borderId="5" xfId="0" applyFont="1" applyBorder="1" applyAlignment="1">
      <alignment horizontal="left" vertical="center" wrapText="1"/>
    </xf>
    <xf numFmtId="0" fontId="51" fillId="0" borderId="3" xfId="0" applyFont="1" applyBorder="1" applyAlignment="1">
      <alignment horizontal="center" wrapText="1"/>
    </xf>
    <xf numFmtId="0" fontId="29" fillId="0" borderId="3" xfId="0" applyFont="1" applyBorder="1" applyAlignment="1">
      <alignment horizontal="left" vertical="center" wrapText="1"/>
    </xf>
    <xf numFmtId="1" fontId="29" fillId="0" borderId="3" xfId="0" applyNumberFormat="1" applyFont="1" applyBorder="1" applyAlignment="1">
      <alignment horizontal="center" vertical="center" wrapText="1"/>
    </xf>
    <xf numFmtId="0" fontId="29" fillId="0" borderId="12"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5" xfId="0" applyFont="1" applyBorder="1" applyAlignment="1">
      <alignment horizontal="center" vertical="center" wrapText="1"/>
    </xf>
    <xf numFmtId="1" fontId="29" fillId="0" borderId="12" xfId="0" applyNumberFormat="1" applyFont="1" applyBorder="1" applyAlignment="1">
      <alignment horizontal="center" vertical="center" wrapText="1"/>
    </xf>
    <xf numFmtId="1" fontId="29" fillId="0" borderId="15" xfId="0" applyNumberFormat="1" applyFont="1" applyBorder="1" applyAlignment="1">
      <alignment horizontal="center" vertical="center" wrapText="1"/>
    </xf>
    <xf numFmtId="1" fontId="29" fillId="0" borderId="5" xfId="0" applyNumberFormat="1" applyFont="1" applyBorder="1" applyAlignment="1">
      <alignment horizontal="center" vertical="center" wrapText="1"/>
    </xf>
    <xf numFmtId="1" fontId="32" fillId="5" borderId="15" xfId="0" applyNumberFormat="1" applyFont="1" applyFill="1" applyBorder="1" applyAlignment="1">
      <alignment horizontal="center" vertical="center" wrapText="1"/>
    </xf>
    <xf numFmtId="1" fontId="32" fillId="5" borderId="12" xfId="0" applyNumberFormat="1" applyFont="1" applyFill="1" applyBorder="1" applyAlignment="1">
      <alignment horizontal="center" vertical="center" wrapText="1"/>
    </xf>
    <xf numFmtId="1" fontId="32" fillId="5" borderId="5" xfId="0" applyNumberFormat="1" applyFont="1" applyFill="1" applyBorder="1" applyAlignment="1">
      <alignment horizontal="center" vertical="center" wrapText="1"/>
    </xf>
    <xf numFmtId="1" fontId="54" fillId="0" borderId="3" xfId="0" applyNumberFormat="1" applyFont="1" applyBorder="1" applyAlignment="1">
      <alignment horizontal="center" vertical="center" wrapText="1"/>
    </xf>
    <xf numFmtId="0" fontId="54" fillId="0" borderId="3" xfId="0" applyFont="1" applyBorder="1" applyAlignment="1">
      <alignment horizontal="center" vertical="center" wrapText="1"/>
    </xf>
    <xf numFmtId="1" fontId="32" fillId="7" borderId="41" xfId="0" applyNumberFormat="1" applyFont="1" applyFill="1" applyBorder="1" applyAlignment="1">
      <alignment horizontal="center" vertical="center" wrapText="1"/>
    </xf>
    <xf numFmtId="1" fontId="32" fillId="7" borderId="30" xfId="0" applyNumberFormat="1" applyFont="1" applyFill="1" applyBorder="1" applyAlignment="1">
      <alignment horizontal="center" vertical="center" wrapText="1"/>
    </xf>
    <xf numFmtId="0" fontId="49" fillId="0" borderId="3" xfId="0" applyFont="1" applyBorder="1" applyAlignment="1">
      <alignment horizontal="left" vertical="center" wrapText="1"/>
    </xf>
    <xf numFmtId="1" fontId="49" fillId="0" borderId="3" xfId="0" applyNumberFormat="1" applyFont="1" applyBorder="1" applyAlignment="1">
      <alignment horizontal="center" vertical="center" wrapText="1"/>
    </xf>
    <xf numFmtId="0" fontId="49" fillId="0" borderId="3" xfId="0" applyFont="1" applyBorder="1" applyAlignment="1">
      <alignment horizontal="center" vertical="center" wrapText="1"/>
    </xf>
    <xf numFmtId="168" fontId="32" fillId="7" borderId="3" xfId="0" applyNumberFormat="1" applyFont="1" applyFill="1" applyBorder="1" applyAlignment="1">
      <alignment horizontal="center" vertical="center" wrapText="1"/>
    </xf>
    <xf numFmtId="0" fontId="1" fillId="0" borderId="31"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top"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38" fillId="0" borderId="12" xfId="0" applyFont="1" applyBorder="1" applyAlignment="1">
      <alignment horizontal="left" vertical="center" wrapText="1"/>
    </xf>
    <xf numFmtId="0" fontId="38" fillId="0" borderId="15" xfId="0" applyFont="1" applyBorder="1" applyAlignment="1">
      <alignment horizontal="left" vertical="center" wrapText="1"/>
    </xf>
    <xf numFmtId="0" fontId="38" fillId="0" borderId="5" xfId="0" applyFont="1" applyBorder="1" applyAlignment="1">
      <alignment horizontal="left" vertical="center" wrapText="1"/>
    </xf>
    <xf numFmtId="0" fontId="38" fillId="0" borderId="12"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5" xfId="0" applyFont="1" applyBorder="1" applyAlignment="1">
      <alignment horizontal="center" vertical="center" wrapText="1"/>
    </xf>
    <xf numFmtId="1" fontId="38" fillId="0" borderId="12" xfId="0" applyNumberFormat="1" applyFont="1" applyBorder="1" applyAlignment="1">
      <alignment horizontal="center" vertical="center" wrapText="1"/>
    </xf>
    <xf numFmtId="1" fontId="38" fillId="0" borderId="15" xfId="0" applyNumberFormat="1" applyFont="1" applyBorder="1" applyAlignment="1">
      <alignment horizontal="center" vertical="center" wrapText="1"/>
    </xf>
    <xf numFmtId="1" fontId="38" fillId="0" borderId="5" xfId="0" applyNumberFormat="1" applyFont="1" applyBorder="1" applyAlignment="1">
      <alignment horizontal="center" vertical="center" wrapText="1"/>
    </xf>
    <xf numFmtId="0" fontId="16"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5" xfId="0" applyFont="1" applyFill="1" applyBorder="1" applyAlignment="1">
      <alignment horizontal="center" vertical="center" wrapText="1"/>
    </xf>
    <xf numFmtId="1" fontId="2" fillId="0" borderId="12"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0" fontId="2" fillId="0" borderId="12"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center" vertical="top" wrapText="1"/>
    </xf>
    <xf numFmtId="0" fontId="2" fillId="0" borderId="5" xfId="0" applyFont="1" applyBorder="1" applyAlignment="1">
      <alignment horizontal="center" vertical="top" wrapText="1"/>
    </xf>
    <xf numFmtId="1" fontId="2" fillId="0" borderId="12" xfId="0" applyNumberFormat="1" applyFont="1" applyBorder="1" applyAlignment="1">
      <alignment horizontal="center" vertical="top" wrapText="1"/>
    </xf>
    <xf numFmtId="1" fontId="2" fillId="0" borderId="5" xfId="0" applyNumberFormat="1" applyFont="1" applyBorder="1" applyAlignment="1">
      <alignment horizontal="center" vertical="top" wrapText="1"/>
    </xf>
    <xf numFmtId="0" fontId="2" fillId="0" borderId="15" xfId="0" applyFont="1" applyBorder="1" applyAlignment="1">
      <alignment horizontal="center" vertical="top" wrapText="1"/>
    </xf>
    <xf numFmtId="1" fontId="2" fillId="0" borderId="15" xfId="0" applyNumberFormat="1" applyFont="1" applyBorder="1" applyAlignment="1">
      <alignment horizontal="center" vertical="top" wrapText="1"/>
    </xf>
    <xf numFmtId="0" fontId="13" fillId="0" borderId="12" xfId="0" applyFont="1" applyBorder="1" applyAlignment="1">
      <alignment horizontal="center" vertical="top" wrapText="1"/>
    </xf>
    <xf numFmtId="0" fontId="13" fillId="0" borderId="15" xfId="0" applyFont="1" applyBorder="1" applyAlignment="1">
      <alignment horizontal="center" vertical="top" wrapText="1"/>
    </xf>
    <xf numFmtId="0" fontId="13" fillId="0" borderId="5" xfId="0" applyFont="1" applyBorder="1" applyAlignment="1">
      <alignment horizontal="center" vertical="top" wrapText="1"/>
    </xf>
    <xf numFmtId="0" fontId="21" fillId="0" borderId="3" xfId="0" applyFont="1" applyBorder="1" applyAlignment="1">
      <alignment horizontal="center" vertical="top" wrapText="1"/>
    </xf>
    <xf numFmtId="1" fontId="21" fillId="0" borderId="3" xfId="0" applyNumberFormat="1" applyFont="1" applyBorder="1" applyAlignment="1">
      <alignment horizontal="center" vertical="top" wrapText="1"/>
    </xf>
    <xf numFmtId="0" fontId="16" fillId="2" borderId="12" xfId="0" applyFont="1" applyFill="1" applyBorder="1" applyAlignment="1">
      <alignment horizontal="center" vertical="top" wrapText="1"/>
    </xf>
    <xf numFmtId="0" fontId="16" fillId="2" borderId="15" xfId="0" applyFont="1" applyFill="1" applyBorder="1" applyAlignment="1">
      <alignment horizontal="center" vertical="top" wrapText="1"/>
    </xf>
    <xf numFmtId="0" fontId="16" fillId="2" borderId="5" xfId="0" applyFont="1" applyFill="1" applyBorder="1" applyAlignment="1">
      <alignment horizontal="center" vertical="top" wrapText="1"/>
    </xf>
    <xf numFmtId="0" fontId="11" fillId="0" borderId="12" xfId="0" applyFont="1" applyBorder="1" applyAlignment="1">
      <alignment horizontal="center" vertical="top" wrapText="1"/>
    </xf>
    <xf numFmtId="0" fontId="11" fillId="0" borderId="15" xfId="0" applyFont="1" applyBorder="1" applyAlignment="1">
      <alignment horizontal="center" vertical="top" wrapText="1"/>
    </xf>
    <xf numFmtId="0" fontId="11" fillId="0" borderId="5" xfId="0" applyFont="1" applyBorder="1" applyAlignment="1">
      <alignment horizontal="center" vertical="top" wrapText="1"/>
    </xf>
    <xf numFmtId="0" fontId="2" fillId="0" borderId="38" xfId="0" applyFont="1" applyBorder="1" applyAlignment="1">
      <alignment horizontal="center" vertical="top" wrapText="1"/>
    </xf>
    <xf numFmtId="0" fontId="2" fillId="0" borderId="21" xfId="0" applyFont="1" applyBorder="1" applyAlignment="1">
      <alignment horizontal="center" vertical="top" wrapText="1"/>
    </xf>
    <xf numFmtId="0" fontId="2" fillId="0" borderId="39" xfId="0" applyFont="1" applyBorder="1" applyAlignment="1">
      <alignment horizontal="center" vertical="top" wrapText="1"/>
    </xf>
    <xf numFmtId="1" fontId="2" fillId="0" borderId="33" xfId="0" applyNumberFormat="1" applyFont="1" applyBorder="1" applyAlignment="1">
      <alignment horizontal="center" vertical="top" wrapText="1"/>
    </xf>
    <xf numFmtId="1" fontId="2" fillId="0" borderId="20" xfId="0" applyNumberFormat="1" applyFont="1" applyBorder="1" applyAlignment="1">
      <alignment horizontal="center" vertical="top" wrapText="1"/>
    </xf>
    <xf numFmtId="1" fontId="2" fillId="0" borderId="4" xfId="0" applyNumberFormat="1" applyFont="1" applyBorder="1" applyAlignment="1">
      <alignment horizontal="center" vertical="top" wrapText="1"/>
    </xf>
    <xf numFmtId="0" fontId="43" fillId="0" borderId="12" xfId="0" applyFont="1" applyBorder="1" applyAlignment="1">
      <alignment horizontal="center" vertical="top" wrapText="1"/>
    </xf>
    <xf numFmtId="0" fontId="43" fillId="0" borderId="5" xfId="0" applyFont="1" applyBorder="1" applyAlignment="1">
      <alignment horizontal="center" vertical="top" wrapText="1"/>
    </xf>
    <xf numFmtId="0" fontId="43" fillId="0" borderId="3" xfId="0" applyFont="1" applyBorder="1" applyAlignment="1">
      <alignment horizontal="center" vertical="top" wrapText="1"/>
    </xf>
    <xf numFmtId="1" fontId="43" fillId="0" borderId="3" xfId="0" applyNumberFormat="1" applyFont="1" applyBorder="1" applyAlignment="1">
      <alignment horizontal="center" vertical="top" wrapText="1"/>
    </xf>
    <xf numFmtId="1" fontId="11" fillId="0" borderId="12" xfId="0" applyNumberFormat="1" applyFont="1" applyBorder="1" applyAlignment="1">
      <alignment horizontal="center" vertical="top" wrapText="1"/>
    </xf>
    <xf numFmtId="1" fontId="11" fillId="0" borderId="15" xfId="0" applyNumberFormat="1" applyFont="1" applyBorder="1" applyAlignment="1">
      <alignment horizontal="center" vertical="top" wrapText="1"/>
    </xf>
    <xf numFmtId="1" fontId="11" fillId="0" borderId="5" xfId="0" applyNumberFormat="1" applyFont="1" applyBorder="1" applyAlignment="1">
      <alignment horizontal="center" vertical="top" wrapText="1"/>
    </xf>
    <xf numFmtId="0" fontId="13" fillId="2" borderId="12"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3" fillId="2" borderId="5" xfId="0" applyFont="1" applyFill="1" applyBorder="1" applyAlignment="1">
      <alignment horizontal="center" vertical="top" wrapText="1"/>
    </xf>
    <xf numFmtId="1" fontId="13" fillId="2" borderId="12" xfId="0" applyNumberFormat="1" applyFont="1" applyFill="1" applyBorder="1" applyAlignment="1">
      <alignment horizontal="center" vertical="top" wrapText="1"/>
    </xf>
    <xf numFmtId="1" fontId="13" fillId="2" borderId="15" xfId="0" applyNumberFormat="1" applyFont="1" applyFill="1" applyBorder="1" applyAlignment="1">
      <alignment horizontal="center" vertical="top" wrapText="1"/>
    </xf>
    <xf numFmtId="1" fontId="13" fillId="2" borderId="5" xfId="0" applyNumberFormat="1" applyFont="1" applyFill="1" applyBorder="1" applyAlignment="1">
      <alignment horizontal="center" vertical="top" wrapText="1"/>
    </xf>
  </cellXfs>
  <cellStyles count="9">
    <cellStyle name="Hyperlink" xfId="1" builtinId="8"/>
    <cellStyle name="Hyperlink 2" xfId="2" xr:uid="{00000000-0005-0000-0000-000001000000}"/>
    <cellStyle name="Normal" xfId="0" builtinId="0"/>
    <cellStyle name="Normal 2" xfId="3" xr:uid="{00000000-0005-0000-0000-000003000000}"/>
    <cellStyle name="Normal 2 2" xfId="4" xr:uid="{00000000-0005-0000-0000-000004000000}"/>
    <cellStyle name="Normal 2_1056 Entities breakup" xfId="5" xr:uid="{00000000-0005-0000-0000-000005000000}"/>
    <cellStyle name="Normal 3" xfId="6" xr:uid="{00000000-0005-0000-0000-000006000000}"/>
    <cellStyle name="Normal 4" xfId="7" xr:uid="{00000000-0005-0000-0000-000007000000}"/>
    <cellStyle name="Normal 6"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pageSetUpPr fitToPage="1"/>
  </sheetPr>
  <dimension ref="A1:U224"/>
  <sheetViews>
    <sheetView view="pageBreakPreview" zoomScale="60" zoomScaleNormal="100" workbookViewId="0">
      <pane xSplit="1" ySplit="4" topLeftCell="B73" activePane="bottomRight" state="frozen"/>
      <selection pane="topRight" activeCell="B1" sqref="B1"/>
      <selection pane="bottomLeft" activeCell="A5" sqref="A5"/>
      <selection pane="bottomRight" activeCell="M79" sqref="M79"/>
    </sheetView>
  </sheetViews>
  <sheetFormatPr defaultColWidth="9.140625" defaultRowHeight="15" x14ac:dyDescent="0.25"/>
  <cols>
    <col min="1" max="1" width="10" style="215" customWidth="1"/>
    <col min="2" max="2" width="44.42578125" style="98" customWidth="1"/>
    <col min="3" max="3" width="18.7109375" style="98" customWidth="1"/>
    <col min="4" max="4" width="21.5703125" style="281" customWidth="1"/>
    <col min="5" max="5" width="13.5703125" style="215" customWidth="1"/>
    <col min="6" max="7" width="18.5703125" style="215" customWidth="1"/>
    <col min="8" max="8" width="14" style="281" customWidth="1"/>
    <col min="9" max="9" width="15.7109375" style="281" customWidth="1"/>
    <col min="10" max="10" width="12.42578125" style="281" customWidth="1"/>
    <col min="11" max="11" width="14.42578125" style="281" customWidth="1"/>
    <col min="12" max="12" width="15.5703125" style="98" customWidth="1"/>
    <col min="13" max="13" width="15.5703125" style="281" customWidth="1"/>
    <col min="14" max="14" width="16.85546875" style="281" customWidth="1"/>
    <col min="15" max="15" width="15.5703125" style="281" customWidth="1"/>
    <col min="16" max="16" width="20.28515625" style="281" customWidth="1"/>
    <col min="17" max="17" width="49.85546875" style="281" customWidth="1"/>
    <col min="18" max="18" width="45.5703125" style="322" customWidth="1"/>
    <col min="19" max="16384" width="9.140625" style="281"/>
  </cols>
  <sheetData>
    <row r="1" spans="1:20" s="98" customFormat="1" ht="27.95" customHeight="1" x14ac:dyDescent="0.2">
      <c r="A1" s="343" t="s">
        <v>1256</v>
      </c>
      <c r="B1" s="343"/>
      <c r="C1" s="343"/>
      <c r="D1" s="343"/>
      <c r="E1" s="343"/>
      <c r="F1" s="343"/>
      <c r="G1" s="343"/>
      <c r="H1" s="343"/>
      <c r="I1" s="343"/>
      <c r="J1" s="343"/>
      <c r="K1" s="343"/>
      <c r="L1" s="343"/>
      <c r="M1" s="343"/>
      <c r="N1" s="343"/>
      <c r="O1" s="343"/>
      <c r="P1" s="343"/>
      <c r="Q1" s="343"/>
      <c r="R1" s="343"/>
    </row>
    <row r="2" spans="1:20" s="99" customFormat="1" ht="60.6" customHeight="1" x14ac:dyDescent="0.4">
      <c r="A2" s="343" t="s">
        <v>0</v>
      </c>
      <c r="B2" s="343" t="s">
        <v>163</v>
      </c>
      <c r="C2" s="212"/>
      <c r="D2" s="343" t="s">
        <v>2</v>
      </c>
      <c r="E2" s="343" t="s">
        <v>164</v>
      </c>
      <c r="F2" s="343" t="s">
        <v>4</v>
      </c>
      <c r="G2" s="343" t="s">
        <v>1169</v>
      </c>
      <c r="H2" s="340" t="s">
        <v>5</v>
      </c>
      <c r="I2" s="340"/>
      <c r="J2" s="340"/>
      <c r="K2" s="340" t="s">
        <v>6</v>
      </c>
      <c r="L2" s="340"/>
      <c r="M2" s="340"/>
      <c r="N2" s="340" t="s">
        <v>7</v>
      </c>
      <c r="O2" s="340" t="s">
        <v>8</v>
      </c>
      <c r="P2" s="340" t="s">
        <v>9</v>
      </c>
      <c r="Q2" s="340" t="s">
        <v>165</v>
      </c>
      <c r="R2" s="340" t="s">
        <v>11</v>
      </c>
    </row>
    <row r="3" spans="1:20" ht="51" customHeight="1" x14ac:dyDescent="0.2">
      <c r="A3" s="343"/>
      <c r="B3" s="343"/>
      <c r="C3" s="212"/>
      <c r="D3" s="343"/>
      <c r="E3" s="343"/>
      <c r="F3" s="343"/>
      <c r="G3" s="343"/>
      <c r="H3" s="340" t="s">
        <v>1257</v>
      </c>
      <c r="I3" s="340" t="s">
        <v>12</v>
      </c>
      <c r="J3" s="340"/>
      <c r="K3" s="340" t="s">
        <v>1258</v>
      </c>
      <c r="L3" s="340" t="s">
        <v>1259</v>
      </c>
      <c r="M3" s="340"/>
      <c r="N3" s="340"/>
      <c r="O3" s="340"/>
      <c r="P3" s="340"/>
      <c r="Q3" s="340"/>
      <c r="R3" s="340"/>
    </row>
    <row r="4" spans="1:20" ht="51" customHeight="1" x14ac:dyDescent="0.2">
      <c r="A4" s="343"/>
      <c r="B4" s="343"/>
      <c r="C4" s="212"/>
      <c r="D4" s="343"/>
      <c r="E4" s="343"/>
      <c r="F4" s="343"/>
      <c r="G4" s="343"/>
      <c r="H4" s="340"/>
      <c r="I4" s="282" t="s">
        <v>14</v>
      </c>
      <c r="J4" s="282" t="s">
        <v>15</v>
      </c>
      <c r="K4" s="340"/>
      <c r="L4" s="282" t="s">
        <v>16</v>
      </c>
      <c r="M4" s="282" t="s">
        <v>17</v>
      </c>
      <c r="N4" s="340"/>
      <c r="O4" s="340"/>
      <c r="P4" s="340"/>
      <c r="Q4" s="340"/>
      <c r="R4" s="340"/>
    </row>
    <row r="5" spans="1:20" s="286" customFormat="1" ht="54.75" customHeight="1" x14ac:dyDescent="0.2">
      <c r="A5" s="335">
        <v>1</v>
      </c>
      <c r="B5" s="324" t="s">
        <v>1260</v>
      </c>
      <c r="C5" s="333" t="s">
        <v>1298</v>
      </c>
      <c r="D5" s="216" t="s">
        <v>18</v>
      </c>
      <c r="E5" s="283">
        <f>2*23+25</f>
        <v>71</v>
      </c>
      <c r="F5" s="217">
        <v>245.82400000000001</v>
      </c>
      <c r="G5" s="217">
        <f>H5+K5</f>
        <v>22.124160000000003</v>
      </c>
      <c r="H5" s="217">
        <f>+F5*0.005</f>
        <v>1.22912</v>
      </c>
      <c r="I5" s="217">
        <v>0</v>
      </c>
      <c r="J5" s="217">
        <v>0.59399999999999997</v>
      </c>
      <c r="K5" s="217">
        <f>+F5*(8.5/100)</f>
        <v>20.895040000000002</v>
      </c>
      <c r="L5" s="284">
        <v>0</v>
      </c>
      <c r="M5" s="217">
        <v>20.895</v>
      </c>
      <c r="N5" s="217">
        <f t="shared" ref="N5:N116" si="0">+H5+K5</f>
        <v>22.124160000000003</v>
      </c>
      <c r="O5" s="217">
        <f t="shared" ref="O5:O116" si="1">+((I5+J5)+(L5+M5))</f>
        <v>21.489000000000001</v>
      </c>
      <c r="P5" s="217">
        <f t="shared" ref="P5:P116" si="2">+N5-O5</f>
        <v>0.63516000000000261</v>
      </c>
      <c r="Q5" s="217" t="s">
        <v>1130</v>
      </c>
      <c r="R5" s="217" t="s">
        <v>166</v>
      </c>
      <c r="S5" s="285" t="s">
        <v>282</v>
      </c>
      <c r="T5" s="285" t="s">
        <v>283</v>
      </c>
    </row>
    <row r="6" spans="1:20" s="286" customFormat="1" ht="54.75" customHeight="1" x14ac:dyDescent="0.2">
      <c r="A6" s="335"/>
      <c r="B6" s="325"/>
      <c r="C6" s="333"/>
      <c r="D6" s="216" t="s">
        <v>20</v>
      </c>
      <c r="E6" s="283">
        <f>2*23+25</f>
        <v>71</v>
      </c>
      <c r="F6" s="217">
        <v>241.43600000000001</v>
      </c>
      <c r="G6" s="287">
        <f>H6+K6</f>
        <v>21.729240000000004</v>
      </c>
      <c r="H6" s="217">
        <f>+F6*0.005</f>
        <v>1.2071800000000001</v>
      </c>
      <c r="I6" s="217">
        <v>0.65500000000000003</v>
      </c>
      <c r="J6" s="217">
        <v>0.55200000000000005</v>
      </c>
      <c r="K6" s="217">
        <f>+F6*(8.5/100)</f>
        <v>20.522060000000003</v>
      </c>
      <c r="L6" s="284">
        <v>0</v>
      </c>
      <c r="M6" s="217">
        <v>20.521999999999998</v>
      </c>
      <c r="N6" s="217">
        <f t="shared" si="0"/>
        <v>21.729240000000004</v>
      </c>
      <c r="O6" s="217">
        <f t="shared" si="1"/>
        <v>21.728999999999999</v>
      </c>
      <c r="P6" s="217">
        <f t="shared" si="2"/>
        <v>2.40000000005125E-4</v>
      </c>
      <c r="Q6" s="217" t="s">
        <v>1140</v>
      </c>
      <c r="R6" s="216" t="s">
        <v>167</v>
      </c>
      <c r="S6" s="285" t="s">
        <v>282</v>
      </c>
      <c r="T6" s="285" t="s">
        <v>283</v>
      </c>
    </row>
    <row r="7" spans="1:20" s="286" customFormat="1" ht="54.75" customHeight="1" x14ac:dyDescent="0.2">
      <c r="A7" s="335"/>
      <c r="B7" s="325"/>
      <c r="C7" s="333"/>
      <c r="D7" s="216" t="s">
        <v>21</v>
      </c>
      <c r="E7" s="283">
        <f>(71+13.22)</f>
        <v>84.22</v>
      </c>
      <c r="F7" s="217">
        <v>201.6422</v>
      </c>
      <c r="G7" s="287">
        <f t="shared" ref="G7:G116" si="3">H7+K7</f>
        <v>22.180641999999999</v>
      </c>
      <c r="H7" s="217">
        <f>+F7*0.01</f>
        <v>2.0164219999999999</v>
      </c>
      <c r="I7" s="217">
        <v>0</v>
      </c>
      <c r="J7" s="217">
        <f>((1+232+235+620)*1000/1000000)</f>
        <v>1.0880000000000001</v>
      </c>
      <c r="K7" s="217">
        <f>+F7*(10/100)</f>
        <v>20.16422</v>
      </c>
      <c r="L7" s="284">
        <v>0</v>
      </c>
      <c r="M7" s="217">
        <f>((15+4158+3446+8034)*1000/1000000)</f>
        <v>15.653</v>
      </c>
      <c r="N7" s="217">
        <f t="shared" si="0"/>
        <v>22.180641999999999</v>
      </c>
      <c r="O7" s="217">
        <f t="shared" si="1"/>
        <v>16.741</v>
      </c>
      <c r="P7" s="217">
        <f t="shared" si="2"/>
        <v>5.4396419999999992</v>
      </c>
      <c r="Q7" s="217" t="s">
        <v>168</v>
      </c>
      <c r="R7" s="216" t="s">
        <v>169</v>
      </c>
      <c r="S7" s="285" t="s">
        <v>282</v>
      </c>
      <c r="T7" s="285" t="s">
        <v>283</v>
      </c>
    </row>
    <row r="8" spans="1:20" s="286" customFormat="1" ht="71.25" customHeight="1" x14ac:dyDescent="0.2">
      <c r="A8" s="335"/>
      <c r="B8" s="325"/>
      <c r="C8" s="333"/>
      <c r="D8" s="216" t="s">
        <v>22</v>
      </c>
      <c r="E8" s="283">
        <f>71+13.22</f>
        <v>84.22</v>
      </c>
      <c r="F8" s="217">
        <v>276.935</v>
      </c>
      <c r="G8" s="287">
        <f t="shared" si="3"/>
        <v>34.616875</v>
      </c>
      <c r="H8" s="217">
        <f>+F8*0.02</f>
        <v>5.5387000000000004</v>
      </c>
      <c r="I8" s="217">
        <v>0</v>
      </c>
      <c r="J8" s="271">
        <f>((5266+978)*1000/1000000)</f>
        <v>6.2439999999999998</v>
      </c>
      <c r="K8" s="217">
        <f>+F8*(10.5/100)</f>
        <v>29.078174999999998</v>
      </c>
      <c r="L8" s="284">
        <v>0</v>
      </c>
      <c r="M8" s="217">
        <f>((11454+19950+8417+3805)*1000/1000000)</f>
        <v>43.625999999999998</v>
      </c>
      <c r="N8" s="217">
        <f t="shared" si="0"/>
        <v>34.616875</v>
      </c>
      <c r="O8" s="217">
        <f t="shared" si="1"/>
        <v>49.87</v>
      </c>
      <c r="P8" s="217">
        <f t="shared" si="2"/>
        <v>-15.253124999999997</v>
      </c>
      <c r="Q8" s="217" t="s">
        <v>1151</v>
      </c>
      <c r="R8" s="216" t="s">
        <v>170</v>
      </c>
      <c r="S8" s="285" t="s">
        <v>282</v>
      </c>
      <c r="T8" s="285" t="s">
        <v>310</v>
      </c>
    </row>
    <row r="9" spans="1:20" s="286" customFormat="1" ht="62.25" customHeight="1" x14ac:dyDescent="0.2">
      <c r="A9" s="335"/>
      <c r="B9" s="325"/>
      <c r="C9" s="333"/>
      <c r="D9" s="216" t="s">
        <v>24</v>
      </c>
      <c r="E9" s="288">
        <f>71+13.22</f>
        <v>84.22</v>
      </c>
      <c r="F9" s="217">
        <v>290.762</v>
      </c>
      <c r="G9" s="287">
        <f>F9*9%</f>
        <v>26.168579999999999</v>
      </c>
      <c r="H9" s="217"/>
      <c r="I9" s="271">
        <v>0</v>
      </c>
      <c r="J9" s="271">
        <f>((5266+1955+1681+479+441+262+577+433+1787-4646-2485)*1000/1000000)</f>
        <v>5.75</v>
      </c>
      <c r="K9" s="217"/>
      <c r="L9" s="284">
        <v>0</v>
      </c>
      <c r="M9" s="271">
        <f>((3805+33505+2827+32911+2294+2221+4465+2682+5978+3374-711-61272)*1000/1000000)</f>
        <v>32.079000000000001</v>
      </c>
      <c r="N9" s="217">
        <f>G9</f>
        <v>26.168579999999999</v>
      </c>
      <c r="O9" s="217">
        <f t="shared" si="1"/>
        <v>37.829000000000001</v>
      </c>
      <c r="P9" s="217">
        <f t="shared" si="2"/>
        <v>-11.660420000000002</v>
      </c>
      <c r="Q9" s="289" t="s">
        <v>1176</v>
      </c>
      <c r="R9" s="289" t="s">
        <v>1177</v>
      </c>
      <c r="S9" s="285" t="s">
        <v>282</v>
      </c>
      <c r="T9" s="285" t="s">
        <v>310</v>
      </c>
    </row>
    <row r="10" spans="1:20" s="286" customFormat="1" ht="66.75" customHeight="1" x14ac:dyDescent="0.2">
      <c r="A10" s="335"/>
      <c r="B10" s="325"/>
      <c r="C10" s="333"/>
      <c r="D10" s="216" t="s">
        <v>27</v>
      </c>
      <c r="E10" s="288">
        <f>71+13.22</f>
        <v>84.22</v>
      </c>
      <c r="F10" s="217">
        <v>290.21800000000002</v>
      </c>
      <c r="G10" s="287">
        <f>F10*9%</f>
        <v>26.119620000000001</v>
      </c>
      <c r="H10" s="217"/>
      <c r="I10" s="271">
        <v>2.58</v>
      </c>
      <c r="J10" s="271">
        <f>((484+139)*1000/1000000)</f>
        <v>0.623</v>
      </c>
      <c r="K10" s="217"/>
      <c r="L10" s="284">
        <v>0</v>
      </c>
      <c r="M10" s="290">
        <f>((95+3342+7158+15162)*1000/1000000)</f>
        <v>25.757000000000001</v>
      </c>
      <c r="N10" s="217">
        <f>G10</f>
        <v>26.119620000000001</v>
      </c>
      <c r="O10" s="217">
        <f t="shared" si="1"/>
        <v>28.96</v>
      </c>
      <c r="P10" s="217">
        <f t="shared" si="2"/>
        <v>-2.8403799999999997</v>
      </c>
      <c r="Q10" s="289" t="s">
        <v>1216</v>
      </c>
      <c r="R10" s="289" t="s">
        <v>1217</v>
      </c>
      <c r="S10" s="285" t="s">
        <v>282</v>
      </c>
      <c r="T10" s="285" t="s">
        <v>310</v>
      </c>
    </row>
    <row r="11" spans="1:20" s="286" customFormat="1" ht="66.75" customHeight="1" x14ac:dyDescent="0.2">
      <c r="A11" s="335"/>
      <c r="B11" s="325"/>
      <c r="C11" s="338" t="s">
        <v>1321</v>
      </c>
      <c r="D11" s="254" t="s">
        <v>1300</v>
      </c>
      <c r="E11" s="291"/>
      <c r="F11" s="258">
        <v>100.77</v>
      </c>
      <c r="G11" s="292">
        <f>H11+K11</f>
        <v>6.0459999999999994</v>
      </c>
      <c r="H11" s="292">
        <v>0.252</v>
      </c>
      <c r="I11" s="258">
        <v>0</v>
      </c>
      <c r="J11" s="270">
        <v>0</v>
      </c>
      <c r="K11" s="258">
        <v>5.7939999999999996</v>
      </c>
      <c r="L11" s="293">
        <v>0</v>
      </c>
      <c r="M11" s="294">
        <v>0</v>
      </c>
      <c r="N11" s="258">
        <f t="shared" ref="N11:N23" si="4">G11</f>
        <v>6.0459999999999994</v>
      </c>
      <c r="O11" s="258">
        <f t="shared" si="1"/>
        <v>0</v>
      </c>
      <c r="P11" s="258">
        <f t="shared" si="2"/>
        <v>6.0459999999999994</v>
      </c>
      <c r="Q11" s="295"/>
      <c r="R11" s="295"/>
      <c r="S11" s="285"/>
      <c r="T11" s="285"/>
    </row>
    <row r="12" spans="1:20" s="286" customFormat="1" ht="66.75" customHeight="1" x14ac:dyDescent="0.2">
      <c r="A12" s="335"/>
      <c r="B12" s="325"/>
      <c r="C12" s="338"/>
      <c r="D12" s="254" t="s">
        <v>1301</v>
      </c>
      <c r="E12" s="291"/>
      <c r="F12" s="258">
        <v>303.75</v>
      </c>
      <c r="G12" s="292">
        <f t="shared" ref="G12:G23" si="5">H12+K12</f>
        <v>21.262</v>
      </c>
      <c r="H12" s="292">
        <v>0.75900000000000001</v>
      </c>
      <c r="I12" s="258">
        <v>0</v>
      </c>
      <c r="J12" s="270">
        <v>0</v>
      </c>
      <c r="K12" s="258">
        <v>20.503</v>
      </c>
      <c r="L12" s="293">
        <v>0</v>
      </c>
      <c r="M12" s="294">
        <v>0</v>
      </c>
      <c r="N12" s="258">
        <f t="shared" si="4"/>
        <v>21.262</v>
      </c>
      <c r="O12" s="258">
        <f t="shared" si="1"/>
        <v>0</v>
      </c>
      <c r="P12" s="258">
        <f t="shared" si="2"/>
        <v>21.262</v>
      </c>
      <c r="Q12" s="295"/>
      <c r="R12" s="295"/>
      <c r="S12" s="285"/>
      <c r="T12" s="285"/>
    </row>
    <row r="13" spans="1:20" s="286" customFormat="1" ht="66.75" customHeight="1" x14ac:dyDescent="0.2">
      <c r="A13" s="335"/>
      <c r="B13" s="325"/>
      <c r="C13" s="338"/>
      <c r="D13" s="254" t="s">
        <v>1302</v>
      </c>
      <c r="E13" s="291"/>
      <c r="F13" s="258">
        <v>283.70999999999998</v>
      </c>
      <c r="G13" s="292">
        <f t="shared" si="5"/>
        <v>22.695999999999998</v>
      </c>
      <c r="H13" s="292">
        <v>0.70899999999999996</v>
      </c>
      <c r="I13" s="258">
        <v>0.49</v>
      </c>
      <c r="J13" s="270">
        <v>0</v>
      </c>
      <c r="K13" s="258">
        <v>21.986999999999998</v>
      </c>
      <c r="L13" s="293">
        <v>0</v>
      </c>
      <c r="M13" s="294">
        <v>0</v>
      </c>
      <c r="N13" s="258">
        <f t="shared" si="4"/>
        <v>22.695999999999998</v>
      </c>
      <c r="O13" s="258">
        <f t="shared" si="1"/>
        <v>0.49</v>
      </c>
      <c r="P13" s="258">
        <f t="shared" si="2"/>
        <v>22.206</v>
      </c>
      <c r="Q13" s="295"/>
      <c r="R13" s="295"/>
      <c r="S13" s="285"/>
      <c r="T13" s="285"/>
    </row>
    <row r="14" spans="1:20" s="286" customFormat="1" ht="66.75" customHeight="1" x14ac:dyDescent="0.2">
      <c r="A14" s="335"/>
      <c r="B14" s="325"/>
      <c r="C14" s="338"/>
      <c r="D14" s="254" t="s">
        <v>1303</v>
      </c>
      <c r="E14" s="291"/>
      <c r="F14" s="258">
        <v>152.79</v>
      </c>
      <c r="G14" s="292">
        <f t="shared" si="5"/>
        <v>13.750999999999999</v>
      </c>
      <c r="H14" s="292">
        <v>0.76400000000000001</v>
      </c>
      <c r="I14" s="258">
        <v>0.69</v>
      </c>
      <c r="J14" s="270">
        <v>0</v>
      </c>
      <c r="K14" s="258">
        <v>12.987</v>
      </c>
      <c r="L14" s="293">
        <v>1.08</v>
      </c>
      <c r="M14" s="294">
        <v>0</v>
      </c>
      <c r="N14" s="258">
        <f t="shared" si="4"/>
        <v>13.750999999999999</v>
      </c>
      <c r="O14" s="258">
        <f t="shared" si="1"/>
        <v>1.77</v>
      </c>
      <c r="P14" s="258">
        <f t="shared" si="2"/>
        <v>11.981</v>
      </c>
      <c r="Q14" s="295"/>
      <c r="R14" s="295"/>
      <c r="S14" s="285"/>
      <c r="T14" s="285"/>
    </row>
    <row r="15" spans="1:20" s="286" customFormat="1" ht="66.75" customHeight="1" x14ac:dyDescent="0.2">
      <c r="A15" s="335"/>
      <c r="B15" s="325"/>
      <c r="C15" s="338"/>
      <c r="D15" s="254" t="s">
        <v>18</v>
      </c>
      <c r="E15" s="291"/>
      <c r="F15" s="258">
        <v>245.82</v>
      </c>
      <c r="G15" s="292">
        <f t="shared" si="5"/>
        <v>22.123999999999999</v>
      </c>
      <c r="H15" s="292">
        <v>1.2290000000000001</v>
      </c>
      <c r="I15" s="258">
        <v>0.64</v>
      </c>
      <c r="J15" s="270">
        <v>0.59399999999999997</v>
      </c>
      <c r="K15" s="258">
        <v>20.895</v>
      </c>
      <c r="L15" s="293">
        <v>38.85</v>
      </c>
      <c r="M15" s="294">
        <v>20.895</v>
      </c>
      <c r="N15" s="258">
        <f t="shared" si="4"/>
        <v>22.123999999999999</v>
      </c>
      <c r="O15" s="258">
        <f t="shared" si="1"/>
        <v>60.979000000000006</v>
      </c>
      <c r="P15" s="258">
        <f t="shared" si="2"/>
        <v>-38.855000000000004</v>
      </c>
      <c r="Q15" s="295"/>
      <c r="R15" s="295"/>
      <c r="S15" s="285"/>
      <c r="T15" s="285"/>
    </row>
    <row r="16" spans="1:20" s="286" customFormat="1" ht="66.75" customHeight="1" x14ac:dyDescent="0.2">
      <c r="A16" s="335"/>
      <c r="B16" s="325"/>
      <c r="C16" s="338"/>
      <c r="D16" s="254" t="s">
        <v>20</v>
      </c>
      <c r="E16" s="291"/>
      <c r="F16" s="258">
        <v>241.44</v>
      </c>
      <c r="G16" s="292">
        <f t="shared" si="5"/>
        <v>21.728999999999999</v>
      </c>
      <c r="H16" s="292">
        <v>1.2070000000000001</v>
      </c>
      <c r="I16" s="258">
        <v>0.66</v>
      </c>
      <c r="J16" s="270">
        <v>0.55200000000000005</v>
      </c>
      <c r="K16" s="258">
        <v>20.521999999999998</v>
      </c>
      <c r="L16" s="293">
        <v>53.42</v>
      </c>
      <c r="M16" s="294">
        <v>20.521999999999998</v>
      </c>
      <c r="N16" s="258">
        <f t="shared" si="4"/>
        <v>21.728999999999999</v>
      </c>
      <c r="O16" s="258">
        <f t="shared" si="1"/>
        <v>75.154000000000011</v>
      </c>
      <c r="P16" s="258">
        <f t="shared" si="2"/>
        <v>-53.425000000000011</v>
      </c>
      <c r="Q16" s="295"/>
      <c r="R16" s="295"/>
      <c r="S16" s="285"/>
      <c r="T16" s="285"/>
    </row>
    <row r="17" spans="1:20" s="286" customFormat="1" ht="66.75" customHeight="1" x14ac:dyDescent="0.2">
      <c r="A17" s="335"/>
      <c r="B17" s="325"/>
      <c r="C17" s="338"/>
      <c r="D17" s="254" t="s">
        <v>21</v>
      </c>
      <c r="E17" s="291"/>
      <c r="F17" s="258">
        <v>289.32</v>
      </c>
      <c r="G17" s="292">
        <f t="shared" si="5"/>
        <v>26.038999999999998</v>
      </c>
      <c r="H17" s="292">
        <v>1.4470000000000001</v>
      </c>
      <c r="I17" s="258">
        <v>1.08</v>
      </c>
      <c r="J17" s="270">
        <v>1.2909999999999999</v>
      </c>
      <c r="K17" s="258">
        <v>24.591999999999999</v>
      </c>
      <c r="L17" s="293">
        <v>53.89</v>
      </c>
      <c r="M17" s="294">
        <v>16.157</v>
      </c>
      <c r="N17" s="258">
        <f t="shared" si="4"/>
        <v>26.038999999999998</v>
      </c>
      <c r="O17" s="258">
        <f t="shared" si="1"/>
        <v>72.417999999999992</v>
      </c>
      <c r="P17" s="258">
        <f t="shared" si="2"/>
        <v>-46.378999999999991</v>
      </c>
      <c r="Q17" s="295"/>
      <c r="R17" s="295"/>
      <c r="S17" s="285"/>
      <c r="T17" s="285"/>
    </row>
    <row r="18" spans="1:20" s="286" customFormat="1" ht="66.75" customHeight="1" x14ac:dyDescent="0.2">
      <c r="A18" s="335"/>
      <c r="B18" s="325"/>
      <c r="C18" s="338"/>
      <c r="D18" s="254" t="s">
        <v>22</v>
      </c>
      <c r="E18" s="291"/>
      <c r="F18" s="258">
        <v>311.31</v>
      </c>
      <c r="G18" s="292">
        <f t="shared" si="5"/>
        <v>28.017999999999997</v>
      </c>
      <c r="H18" s="292">
        <v>1.5569999999999999</v>
      </c>
      <c r="I18" s="258">
        <v>0.89</v>
      </c>
      <c r="J18" s="270">
        <v>1.0349999999999999</v>
      </c>
      <c r="K18" s="258">
        <v>26.460999999999999</v>
      </c>
      <c r="L18" s="293">
        <v>52.88</v>
      </c>
      <c r="M18" s="294">
        <v>51.86</v>
      </c>
      <c r="N18" s="258">
        <f t="shared" si="4"/>
        <v>28.017999999999997</v>
      </c>
      <c r="O18" s="258">
        <f t="shared" si="1"/>
        <v>106.66500000000001</v>
      </c>
      <c r="P18" s="258">
        <f t="shared" si="2"/>
        <v>-78.647000000000006</v>
      </c>
      <c r="Q18" s="295"/>
      <c r="R18" s="295"/>
      <c r="S18" s="285"/>
      <c r="T18" s="285"/>
    </row>
    <row r="19" spans="1:20" s="286" customFormat="1" ht="66.75" customHeight="1" x14ac:dyDescent="0.2">
      <c r="A19" s="335"/>
      <c r="B19" s="325"/>
      <c r="C19" s="338"/>
      <c r="D19" s="254" t="s">
        <v>24</v>
      </c>
      <c r="E19" s="291"/>
      <c r="F19" s="258">
        <v>315.79000000000002</v>
      </c>
      <c r="G19" s="292">
        <f t="shared" si="5"/>
        <v>28.420999999999999</v>
      </c>
      <c r="H19" s="292">
        <v>1.579</v>
      </c>
      <c r="I19" s="258">
        <v>2.58</v>
      </c>
      <c r="J19" s="270">
        <v>15.683999999999999</v>
      </c>
      <c r="K19" s="258">
        <v>26.841999999999999</v>
      </c>
      <c r="L19" s="293">
        <v>56.25</v>
      </c>
      <c r="M19" s="294">
        <v>103.28</v>
      </c>
      <c r="N19" s="258">
        <f t="shared" si="4"/>
        <v>28.420999999999999</v>
      </c>
      <c r="O19" s="258">
        <f t="shared" si="1"/>
        <v>177.79400000000001</v>
      </c>
      <c r="P19" s="258">
        <f t="shared" si="2"/>
        <v>-149.37300000000002</v>
      </c>
      <c r="Q19" s="295"/>
      <c r="R19" s="295"/>
      <c r="S19" s="285"/>
      <c r="T19" s="285"/>
    </row>
    <row r="20" spans="1:20" s="286" customFormat="1" ht="66.75" customHeight="1" x14ac:dyDescent="0.2">
      <c r="A20" s="335"/>
      <c r="B20" s="325"/>
      <c r="C20" s="338"/>
      <c r="D20" s="254" t="s">
        <v>27</v>
      </c>
      <c r="E20" s="291"/>
      <c r="F20" s="258">
        <v>468.36</v>
      </c>
      <c r="G20" s="292">
        <f t="shared" si="5"/>
        <v>42.152999999999999</v>
      </c>
      <c r="H20" s="292">
        <v>2.3420000000000001</v>
      </c>
      <c r="I20" s="258">
        <v>2.81</v>
      </c>
      <c r="J20" s="270">
        <v>1.6539999999999999</v>
      </c>
      <c r="K20" s="258">
        <v>39.811</v>
      </c>
      <c r="L20" s="293">
        <v>54.71</v>
      </c>
      <c r="M20" s="294">
        <v>33.417000000000002</v>
      </c>
      <c r="N20" s="258">
        <f t="shared" si="4"/>
        <v>42.152999999999999</v>
      </c>
      <c r="O20" s="258">
        <f t="shared" si="1"/>
        <v>92.591000000000008</v>
      </c>
      <c r="P20" s="258">
        <f t="shared" si="2"/>
        <v>-50.438000000000009</v>
      </c>
      <c r="Q20" s="295"/>
      <c r="R20" s="295"/>
      <c r="S20" s="285"/>
      <c r="T20" s="285"/>
    </row>
    <row r="21" spans="1:20" s="286" customFormat="1" ht="66.75" customHeight="1" x14ac:dyDescent="0.2">
      <c r="A21" s="335"/>
      <c r="B21" s="325"/>
      <c r="C21" s="338"/>
      <c r="D21" s="254" t="s">
        <v>1304</v>
      </c>
      <c r="E21" s="291"/>
      <c r="F21" s="258">
        <v>595</v>
      </c>
      <c r="G21" s="292">
        <f t="shared" si="5"/>
        <v>53.550000000000004</v>
      </c>
      <c r="H21" s="292">
        <v>2.9750000000000001</v>
      </c>
      <c r="I21" s="258">
        <v>3.73</v>
      </c>
      <c r="J21" s="270">
        <v>0</v>
      </c>
      <c r="K21" s="258">
        <v>50.575000000000003</v>
      </c>
      <c r="L21" s="293">
        <v>46.69</v>
      </c>
      <c r="M21" s="294">
        <v>0</v>
      </c>
      <c r="N21" s="258">
        <f t="shared" si="4"/>
        <v>53.550000000000004</v>
      </c>
      <c r="O21" s="258">
        <f t="shared" si="1"/>
        <v>50.419999999999995</v>
      </c>
      <c r="P21" s="258">
        <f t="shared" si="2"/>
        <v>3.1300000000000097</v>
      </c>
      <c r="Q21" s="295"/>
      <c r="R21" s="295"/>
      <c r="S21" s="285"/>
      <c r="T21" s="285"/>
    </row>
    <row r="22" spans="1:20" s="286" customFormat="1" ht="66.75" customHeight="1" x14ac:dyDescent="0.2">
      <c r="A22" s="335"/>
      <c r="B22" s="325"/>
      <c r="C22" s="338"/>
      <c r="D22" s="254" t="s">
        <v>1305</v>
      </c>
      <c r="E22" s="291"/>
      <c r="F22" s="258">
        <v>626.96</v>
      </c>
      <c r="G22" s="292">
        <f t="shared" si="5"/>
        <v>56.425999999999995</v>
      </c>
      <c r="H22" s="292">
        <v>3.1349999999999998</v>
      </c>
      <c r="I22" s="258">
        <v>12.74</v>
      </c>
      <c r="J22" s="270">
        <v>0</v>
      </c>
      <c r="K22" s="258">
        <v>53.290999999999997</v>
      </c>
      <c r="L22" s="293">
        <v>47.1</v>
      </c>
      <c r="M22" s="294">
        <v>0</v>
      </c>
      <c r="N22" s="258">
        <f t="shared" si="4"/>
        <v>56.425999999999995</v>
      </c>
      <c r="O22" s="258">
        <f t="shared" si="1"/>
        <v>59.84</v>
      </c>
      <c r="P22" s="258">
        <f t="shared" si="2"/>
        <v>-3.4140000000000086</v>
      </c>
      <c r="Q22" s="295"/>
      <c r="R22" s="295"/>
      <c r="S22" s="285"/>
      <c r="T22" s="285"/>
    </row>
    <row r="23" spans="1:20" s="286" customFormat="1" ht="66.75" customHeight="1" x14ac:dyDescent="0.2">
      <c r="A23" s="335"/>
      <c r="B23" s="326"/>
      <c r="C23" s="338"/>
      <c r="D23" s="254" t="s">
        <v>1306</v>
      </c>
      <c r="E23" s="291"/>
      <c r="F23" s="258">
        <v>523.99</v>
      </c>
      <c r="G23" s="292">
        <f t="shared" si="5"/>
        <v>47.158999999999999</v>
      </c>
      <c r="H23" s="292">
        <v>2.62</v>
      </c>
      <c r="I23" s="258">
        <v>33.99</v>
      </c>
      <c r="J23" s="270">
        <v>0</v>
      </c>
      <c r="K23" s="258">
        <v>44.539000000000001</v>
      </c>
      <c r="L23" s="293">
        <v>119.17</v>
      </c>
      <c r="M23" s="294">
        <v>0</v>
      </c>
      <c r="N23" s="258">
        <f t="shared" si="4"/>
        <v>47.158999999999999</v>
      </c>
      <c r="O23" s="258">
        <f t="shared" si="1"/>
        <v>153.16</v>
      </c>
      <c r="P23" s="258">
        <f t="shared" si="2"/>
        <v>-106.001</v>
      </c>
      <c r="Q23" s="295"/>
      <c r="R23" s="295"/>
      <c r="S23" s="285"/>
      <c r="T23" s="285"/>
    </row>
    <row r="24" spans="1:20" ht="100.5" customHeight="1" x14ac:dyDescent="0.2">
      <c r="A24" s="335">
        <v>2</v>
      </c>
      <c r="B24" s="335" t="s">
        <v>173</v>
      </c>
      <c r="C24" s="333" t="s">
        <v>1298</v>
      </c>
      <c r="D24" s="216" t="s">
        <v>18</v>
      </c>
      <c r="E24" s="283">
        <v>30</v>
      </c>
      <c r="F24" s="217">
        <f>85700/1000</f>
        <v>85.7</v>
      </c>
      <c r="G24" s="287">
        <f t="shared" si="3"/>
        <v>7.7130000000000001</v>
      </c>
      <c r="H24" s="217">
        <f>+F24*0.005</f>
        <v>0.42850000000000005</v>
      </c>
      <c r="I24" s="217">
        <v>0</v>
      </c>
      <c r="J24" s="217">
        <v>0</v>
      </c>
      <c r="K24" s="217">
        <f>+F24*(8.5/100)</f>
        <v>7.2845000000000004</v>
      </c>
      <c r="L24" s="284">
        <v>0</v>
      </c>
      <c r="M24" s="217">
        <v>0</v>
      </c>
      <c r="N24" s="217">
        <f t="shared" si="0"/>
        <v>7.7130000000000001</v>
      </c>
      <c r="O24" s="217">
        <f t="shared" si="1"/>
        <v>0</v>
      </c>
      <c r="P24" s="217">
        <f t="shared" si="2"/>
        <v>7.7130000000000001</v>
      </c>
      <c r="Q24" s="217" t="s">
        <v>1123</v>
      </c>
      <c r="R24" s="217" t="s">
        <v>171</v>
      </c>
      <c r="S24" s="215" t="s">
        <v>282</v>
      </c>
      <c r="T24" s="215" t="s">
        <v>283</v>
      </c>
    </row>
    <row r="25" spans="1:20" ht="54.75" customHeight="1" x14ac:dyDescent="0.2">
      <c r="A25" s="335"/>
      <c r="B25" s="335"/>
      <c r="C25" s="333"/>
      <c r="D25" s="216" t="s">
        <v>20</v>
      </c>
      <c r="E25" s="283">
        <v>30</v>
      </c>
      <c r="F25" s="217">
        <v>92.34</v>
      </c>
      <c r="G25" s="287">
        <f t="shared" si="3"/>
        <v>8.3106000000000009</v>
      </c>
      <c r="H25" s="217">
        <f>+F25*0.005</f>
        <v>0.4617</v>
      </c>
      <c r="I25" s="217">
        <v>0</v>
      </c>
      <c r="J25" s="217">
        <v>0</v>
      </c>
      <c r="K25" s="217">
        <f>+F25*(8.5/100)</f>
        <v>7.8489000000000004</v>
      </c>
      <c r="L25" s="284">
        <v>0</v>
      </c>
      <c r="M25" s="217">
        <v>0</v>
      </c>
      <c r="N25" s="217">
        <f t="shared" si="0"/>
        <v>8.3106000000000009</v>
      </c>
      <c r="O25" s="217">
        <f t="shared" si="1"/>
        <v>0</v>
      </c>
      <c r="P25" s="217">
        <f t="shared" si="2"/>
        <v>8.3106000000000009</v>
      </c>
      <c r="Q25" s="217" t="s">
        <v>1133</v>
      </c>
      <c r="R25" s="216" t="s">
        <v>1134</v>
      </c>
      <c r="S25" s="215" t="s">
        <v>282</v>
      </c>
      <c r="T25" s="215" t="s">
        <v>283</v>
      </c>
    </row>
    <row r="26" spans="1:20" ht="54.75" customHeight="1" x14ac:dyDescent="0.2">
      <c r="A26" s="335"/>
      <c r="B26" s="335"/>
      <c r="C26" s="333"/>
      <c r="D26" s="216" t="s">
        <v>21</v>
      </c>
      <c r="E26" s="216">
        <v>30</v>
      </c>
      <c r="F26" s="217">
        <v>52.1</v>
      </c>
      <c r="G26" s="287">
        <f t="shared" si="3"/>
        <v>5.7310000000000008</v>
      </c>
      <c r="H26" s="217">
        <f>+F26*0.01</f>
        <v>0.52100000000000002</v>
      </c>
      <c r="I26" s="217">
        <v>0</v>
      </c>
      <c r="J26" s="217">
        <f>(0*1000/1000000)</f>
        <v>0</v>
      </c>
      <c r="K26" s="217">
        <f>+F26*(10/100)</f>
        <v>5.2100000000000009</v>
      </c>
      <c r="L26" s="284">
        <v>0</v>
      </c>
      <c r="M26" s="217">
        <v>0</v>
      </c>
      <c r="N26" s="217">
        <f t="shared" si="0"/>
        <v>5.7310000000000008</v>
      </c>
      <c r="O26" s="217">
        <f t="shared" si="1"/>
        <v>0</v>
      </c>
      <c r="P26" s="217">
        <f t="shared" si="2"/>
        <v>5.7310000000000008</v>
      </c>
      <c r="Q26" s="217" t="s">
        <v>1123</v>
      </c>
      <c r="R26" s="216" t="s">
        <v>172</v>
      </c>
      <c r="S26" s="215" t="s">
        <v>282</v>
      </c>
      <c r="T26" s="215" t="s">
        <v>283</v>
      </c>
    </row>
    <row r="27" spans="1:20" ht="66.75" customHeight="1" x14ac:dyDescent="0.2">
      <c r="A27" s="335"/>
      <c r="B27" s="335"/>
      <c r="C27" s="333"/>
      <c r="D27" s="216" t="s">
        <v>22</v>
      </c>
      <c r="E27" s="216">
        <v>30</v>
      </c>
      <c r="F27" s="217">
        <v>98.4</v>
      </c>
      <c r="G27" s="287">
        <f t="shared" si="3"/>
        <v>12.3</v>
      </c>
      <c r="H27" s="217">
        <f>+F27*0.02</f>
        <v>1.9680000000000002</v>
      </c>
      <c r="I27" s="217">
        <v>0</v>
      </c>
      <c r="J27" s="217">
        <f>(0*1000/1000000)</f>
        <v>0</v>
      </c>
      <c r="K27" s="217">
        <f>+F27*(10.5/100)</f>
        <v>10.332000000000001</v>
      </c>
      <c r="L27" s="284">
        <v>0</v>
      </c>
      <c r="M27" s="217">
        <v>0</v>
      </c>
      <c r="N27" s="217">
        <f t="shared" si="0"/>
        <v>12.3</v>
      </c>
      <c r="O27" s="217">
        <f t="shared" si="1"/>
        <v>0</v>
      </c>
      <c r="P27" s="217">
        <f t="shared" si="2"/>
        <v>12.3</v>
      </c>
      <c r="Q27" s="217" t="s">
        <v>1158</v>
      </c>
      <c r="R27" s="216" t="s">
        <v>174</v>
      </c>
      <c r="S27" s="215" t="s">
        <v>282</v>
      </c>
      <c r="T27" s="215" t="s">
        <v>283</v>
      </c>
    </row>
    <row r="28" spans="1:20" ht="54.75" customHeight="1" x14ac:dyDescent="0.2">
      <c r="A28" s="335"/>
      <c r="B28" s="335"/>
      <c r="C28" s="333"/>
      <c r="D28" s="223" t="s">
        <v>24</v>
      </c>
      <c r="E28" s="223">
        <f>(2*2)+(2*13)</f>
        <v>30</v>
      </c>
      <c r="F28" s="271">
        <v>129.94</v>
      </c>
      <c r="G28" s="287">
        <f t="shared" si="3"/>
        <v>17.86675</v>
      </c>
      <c r="H28" s="271">
        <f>+F28*0.0275</f>
        <v>3.57335</v>
      </c>
      <c r="I28" s="271">
        <v>0</v>
      </c>
      <c r="J28" s="271">
        <f>(0*1000/1000000)</f>
        <v>0</v>
      </c>
      <c r="K28" s="271">
        <f>+F28*(11/100)</f>
        <v>14.2934</v>
      </c>
      <c r="L28" s="296">
        <v>0</v>
      </c>
      <c r="M28" s="271">
        <v>0</v>
      </c>
      <c r="N28" s="271">
        <f t="shared" si="0"/>
        <v>17.86675</v>
      </c>
      <c r="O28" s="271">
        <f t="shared" si="1"/>
        <v>0</v>
      </c>
      <c r="P28" s="271">
        <f t="shared" si="2"/>
        <v>17.86675</v>
      </c>
      <c r="Q28" s="297" t="s">
        <v>1209</v>
      </c>
      <c r="R28" s="297" t="s">
        <v>175</v>
      </c>
      <c r="S28" s="215" t="s">
        <v>282</v>
      </c>
      <c r="T28" s="215" t="s">
        <v>283</v>
      </c>
    </row>
    <row r="29" spans="1:20" ht="69.75" customHeight="1" x14ac:dyDescent="0.2">
      <c r="A29" s="335"/>
      <c r="B29" s="335"/>
      <c r="C29" s="333"/>
      <c r="D29" s="223" t="s">
        <v>27</v>
      </c>
      <c r="E29" s="223">
        <f>(2*2)+(2*13)</f>
        <v>30</v>
      </c>
      <c r="F29" s="271">
        <v>126.33</v>
      </c>
      <c r="G29" s="287"/>
      <c r="H29" s="271">
        <f>+F29*0.035</f>
        <v>4.4215500000000008</v>
      </c>
      <c r="I29" s="271">
        <v>0</v>
      </c>
      <c r="J29" s="271">
        <f>(0*1000/1000000)</f>
        <v>0</v>
      </c>
      <c r="K29" s="271">
        <f>+F29*(11.5/100)</f>
        <v>14.527950000000001</v>
      </c>
      <c r="L29" s="296">
        <v>0</v>
      </c>
      <c r="M29" s="271">
        <v>0</v>
      </c>
      <c r="N29" s="271">
        <f t="shared" si="0"/>
        <v>18.9495</v>
      </c>
      <c r="O29" s="271">
        <f t="shared" si="1"/>
        <v>0</v>
      </c>
      <c r="P29" s="271">
        <f t="shared" si="2"/>
        <v>18.9495</v>
      </c>
      <c r="Q29" s="297" t="s">
        <v>1253</v>
      </c>
      <c r="R29" s="297" t="s">
        <v>176</v>
      </c>
      <c r="S29" s="215" t="s">
        <v>282</v>
      </c>
      <c r="T29" s="215" t="s">
        <v>283</v>
      </c>
    </row>
    <row r="30" spans="1:20" ht="69.75" customHeight="1" x14ac:dyDescent="0.2">
      <c r="A30" s="335"/>
      <c r="B30" s="335"/>
      <c r="C30" s="338" t="s">
        <v>1344</v>
      </c>
      <c r="D30" s="254" t="s">
        <v>18</v>
      </c>
      <c r="E30" s="346" t="s">
        <v>1422</v>
      </c>
      <c r="F30" s="346"/>
      <c r="G30" s="346"/>
      <c r="H30" s="346"/>
      <c r="I30" s="346"/>
      <c r="J30" s="346"/>
      <c r="K30" s="346"/>
      <c r="L30" s="346"/>
      <c r="M30" s="346"/>
      <c r="N30" s="346"/>
      <c r="O30" s="346"/>
      <c r="P30" s="346"/>
      <c r="Q30" s="346"/>
      <c r="R30" s="346"/>
      <c r="S30" s="215"/>
      <c r="T30" s="215"/>
    </row>
    <row r="31" spans="1:20" ht="69.75" customHeight="1" x14ac:dyDescent="0.2">
      <c r="A31" s="335"/>
      <c r="B31" s="335"/>
      <c r="C31" s="338"/>
      <c r="D31" s="254" t="s">
        <v>20</v>
      </c>
      <c r="E31" s="346"/>
      <c r="F31" s="346"/>
      <c r="G31" s="346"/>
      <c r="H31" s="346"/>
      <c r="I31" s="346"/>
      <c r="J31" s="346"/>
      <c r="K31" s="346"/>
      <c r="L31" s="346"/>
      <c r="M31" s="346"/>
      <c r="N31" s="346"/>
      <c r="O31" s="346"/>
      <c r="P31" s="346"/>
      <c r="Q31" s="346"/>
      <c r="R31" s="346"/>
      <c r="S31" s="215"/>
      <c r="T31" s="215"/>
    </row>
    <row r="32" spans="1:20" ht="69.75" customHeight="1" x14ac:dyDescent="0.2">
      <c r="A32" s="335"/>
      <c r="B32" s="335"/>
      <c r="C32" s="338"/>
      <c r="D32" s="254" t="s">
        <v>21</v>
      </c>
      <c r="E32" s="346"/>
      <c r="F32" s="346"/>
      <c r="G32" s="346"/>
      <c r="H32" s="346"/>
      <c r="I32" s="346"/>
      <c r="J32" s="346"/>
      <c r="K32" s="346"/>
      <c r="L32" s="346"/>
      <c r="M32" s="346"/>
      <c r="N32" s="346"/>
      <c r="O32" s="346"/>
      <c r="P32" s="346"/>
      <c r="Q32" s="346"/>
      <c r="R32" s="346"/>
      <c r="S32" s="215"/>
      <c r="T32" s="215"/>
    </row>
    <row r="33" spans="1:20" ht="69.75" customHeight="1" x14ac:dyDescent="0.2">
      <c r="A33" s="335"/>
      <c r="B33" s="335"/>
      <c r="C33" s="338"/>
      <c r="D33" s="254" t="s">
        <v>22</v>
      </c>
      <c r="E33" s="346"/>
      <c r="F33" s="346"/>
      <c r="G33" s="346"/>
      <c r="H33" s="346"/>
      <c r="I33" s="346"/>
      <c r="J33" s="346"/>
      <c r="K33" s="346"/>
      <c r="L33" s="346"/>
      <c r="M33" s="346"/>
      <c r="N33" s="346"/>
      <c r="O33" s="346"/>
      <c r="P33" s="346"/>
      <c r="Q33" s="346"/>
      <c r="R33" s="346"/>
      <c r="S33" s="215"/>
      <c r="T33" s="215"/>
    </row>
    <row r="34" spans="1:20" ht="69.75" customHeight="1" x14ac:dyDescent="0.2">
      <c r="A34" s="335"/>
      <c r="B34" s="335"/>
      <c r="C34" s="338"/>
      <c r="D34" s="265" t="s">
        <v>24</v>
      </c>
      <c r="E34" s="346"/>
      <c r="F34" s="346"/>
      <c r="G34" s="346"/>
      <c r="H34" s="346"/>
      <c r="I34" s="346"/>
      <c r="J34" s="346"/>
      <c r="K34" s="346"/>
      <c r="L34" s="346"/>
      <c r="M34" s="346"/>
      <c r="N34" s="346"/>
      <c r="O34" s="346"/>
      <c r="P34" s="346"/>
      <c r="Q34" s="346"/>
      <c r="R34" s="346"/>
      <c r="S34" s="215"/>
      <c r="T34" s="215"/>
    </row>
    <row r="35" spans="1:20" ht="69.75" customHeight="1" x14ac:dyDescent="0.2">
      <c r="A35" s="335"/>
      <c r="B35" s="335"/>
      <c r="C35" s="338"/>
      <c r="D35" s="265" t="s">
        <v>27</v>
      </c>
      <c r="E35" s="346"/>
      <c r="F35" s="346"/>
      <c r="G35" s="346"/>
      <c r="H35" s="346"/>
      <c r="I35" s="346"/>
      <c r="J35" s="346"/>
      <c r="K35" s="346"/>
      <c r="L35" s="346"/>
      <c r="M35" s="346"/>
      <c r="N35" s="346"/>
      <c r="O35" s="346"/>
      <c r="P35" s="346"/>
      <c r="Q35" s="346"/>
      <c r="R35" s="346"/>
      <c r="S35" s="215"/>
      <c r="T35" s="215"/>
    </row>
    <row r="36" spans="1:20" ht="72.75" customHeight="1" x14ac:dyDescent="0.2">
      <c r="A36" s="333">
        <v>3</v>
      </c>
      <c r="B36" s="333" t="s">
        <v>179</v>
      </c>
      <c r="C36" s="333" t="s">
        <v>1298</v>
      </c>
      <c r="D36" s="216" t="s">
        <v>18</v>
      </c>
      <c r="E36" s="283">
        <v>7.6</v>
      </c>
      <c r="F36" s="217">
        <v>72.367999999999995</v>
      </c>
      <c r="G36" s="287">
        <f t="shared" si="3"/>
        <v>6.5131199999999998</v>
      </c>
      <c r="H36" s="217">
        <f>+F36*0.005</f>
        <v>0.36183999999999999</v>
      </c>
      <c r="I36" s="217">
        <v>0</v>
      </c>
      <c r="J36" s="217">
        <v>0</v>
      </c>
      <c r="K36" s="217">
        <f>+F36*(8.5/100)</f>
        <v>6.1512799999999999</v>
      </c>
      <c r="L36" s="284">
        <v>0</v>
      </c>
      <c r="M36" s="217">
        <v>0</v>
      </c>
      <c r="N36" s="217">
        <f t="shared" si="0"/>
        <v>6.5131199999999998</v>
      </c>
      <c r="O36" s="217">
        <f t="shared" si="1"/>
        <v>0</v>
      </c>
      <c r="P36" s="217">
        <f t="shared" si="2"/>
        <v>6.5131199999999998</v>
      </c>
      <c r="Q36" s="217" t="s">
        <v>1125</v>
      </c>
      <c r="R36" s="217" t="s">
        <v>177</v>
      </c>
      <c r="S36" s="215" t="s">
        <v>282</v>
      </c>
      <c r="T36" s="215" t="s">
        <v>283</v>
      </c>
    </row>
    <row r="37" spans="1:20" ht="72.75" customHeight="1" x14ac:dyDescent="0.2">
      <c r="A37" s="333"/>
      <c r="B37" s="333"/>
      <c r="C37" s="333"/>
      <c r="D37" s="216" t="s">
        <v>20</v>
      </c>
      <c r="E37" s="283">
        <v>7.6</v>
      </c>
      <c r="F37" s="217">
        <v>72.893000000000001</v>
      </c>
      <c r="G37" s="287">
        <f t="shared" si="3"/>
        <v>6.5603700000000007</v>
      </c>
      <c r="H37" s="217">
        <f>+F37*0.005</f>
        <v>0.36446499999999998</v>
      </c>
      <c r="I37" s="217">
        <v>0</v>
      </c>
      <c r="J37" s="217">
        <f>379/1000</f>
        <v>0.379</v>
      </c>
      <c r="K37" s="217">
        <f>+F37*(8.5/100)</f>
        <v>6.1959050000000007</v>
      </c>
      <c r="L37" s="284">
        <v>0</v>
      </c>
      <c r="M37" s="217">
        <f>6442/1000</f>
        <v>6.4420000000000002</v>
      </c>
      <c r="N37" s="217">
        <f t="shared" si="0"/>
        <v>6.5603700000000007</v>
      </c>
      <c r="O37" s="217">
        <f t="shared" si="1"/>
        <v>6.8209999999999997</v>
      </c>
      <c r="P37" s="217">
        <f t="shared" si="2"/>
        <v>-0.26062999999999903</v>
      </c>
      <c r="Q37" s="217" t="s">
        <v>1132</v>
      </c>
      <c r="R37" s="216" t="s">
        <v>178</v>
      </c>
      <c r="S37" s="215" t="s">
        <v>282</v>
      </c>
      <c r="T37" s="215" t="s">
        <v>310</v>
      </c>
    </row>
    <row r="38" spans="1:20" ht="72.75" customHeight="1" x14ac:dyDescent="0.2">
      <c r="A38" s="333"/>
      <c r="B38" s="333"/>
      <c r="C38" s="333"/>
      <c r="D38" s="216" t="s">
        <v>21</v>
      </c>
      <c r="E38" s="283">
        <v>7.6</v>
      </c>
      <c r="F38" s="217">
        <v>0.113</v>
      </c>
      <c r="G38" s="287">
        <f t="shared" si="3"/>
        <v>1.2430000000000002E-2</v>
      </c>
      <c r="H38" s="217">
        <f>+F38*0.01</f>
        <v>1.1300000000000001E-3</v>
      </c>
      <c r="I38" s="217">
        <v>0</v>
      </c>
      <c r="J38" s="217">
        <v>2E-3</v>
      </c>
      <c r="K38" s="217">
        <f>+F38*(10/100)</f>
        <v>1.1300000000000001E-2</v>
      </c>
      <c r="L38" s="284">
        <v>0</v>
      </c>
      <c r="M38" s="217">
        <v>2.5000000000000001E-2</v>
      </c>
      <c r="N38" s="217">
        <f t="shared" si="0"/>
        <v>1.2430000000000002E-2</v>
      </c>
      <c r="O38" s="217">
        <f t="shared" si="1"/>
        <v>2.7000000000000003E-2</v>
      </c>
      <c r="P38" s="217">
        <f t="shared" si="2"/>
        <v>-1.4570000000000001E-2</v>
      </c>
      <c r="Q38" s="217" t="s">
        <v>1123</v>
      </c>
      <c r="R38" s="216" t="s">
        <v>180</v>
      </c>
      <c r="S38" s="215" t="s">
        <v>282</v>
      </c>
      <c r="T38" s="215" t="s">
        <v>310</v>
      </c>
    </row>
    <row r="39" spans="1:20" ht="72.75" customHeight="1" x14ac:dyDescent="0.2">
      <c r="A39" s="333"/>
      <c r="B39" s="333"/>
      <c r="C39" s="333"/>
      <c r="D39" s="216" t="s">
        <v>22</v>
      </c>
      <c r="E39" s="283">
        <v>7.5</v>
      </c>
      <c r="F39" s="217">
        <v>0.113</v>
      </c>
      <c r="G39" s="287">
        <f t="shared" si="3"/>
        <v>1.4125E-2</v>
      </c>
      <c r="H39" s="217">
        <f>+F39*0.02</f>
        <v>2.2600000000000003E-3</v>
      </c>
      <c r="I39" s="217">
        <v>0</v>
      </c>
      <c r="J39" s="217">
        <f>(2*1000/1000000)</f>
        <v>2E-3</v>
      </c>
      <c r="K39" s="217">
        <f>+F39*(10.5/100)</f>
        <v>1.1865000000000001E-2</v>
      </c>
      <c r="L39" s="284">
        <v>0</v>
      </c>
      <c r="M39" s="217">
        <f>(12*1000/1000000)</f>
        <v>1.2E-2</v>
      </c>
      <c r="N39" s="217">
        <f t="shared" si="0"/>
        <v>1.4125E-2</v>
      </c>
      <c r="O39" s="217">
        <f t="shared" si="1"/>
        <v>1.4E-2</v>
      </c>
      <c r="P39" s="217">
        <f t="shared" si="2"/>
        <v>1.2500000000000011E-4</v>
      </c>
      <c r="Q39" s="217" t="s">
        <v>1163</v>
      </c>
      <c r="R39" s="216" t="s">
        <v>181</v>
      </c>
      <c r="S39" s="215" t="s">
        <v>282</v>
      </c>
      <c r="T39" s="215" t="s">
        <v>283</v>
      </c>
    </row>
    <row r="40" spans="1:20" ht="72.75" customHeight="1" x14ac:dyDescent="0.2">
      <c r="A40" s="333"/>
      <c r="B40" s="333"/>
      <c r="C40" s="333"/>
      <c r="D40" s="216" t="s">
        <v>24</v>
      </c>
      <c r="E40" s="283">
        <v>7.5</v>
      </c>
      <c r="F40" s="217">
        <v>0.19600000000000001</v>
      </c>
      <c r="G40" s="287">
        <f>F40*9%</f>
        <v>1.7639999999999999E-2</v>
      </c>
      <c r="H40" s="217"/>
      <c r="I40" s="217">
        <v>0</v>
      </c>
      <c r="J40" s="217">
        <f>(5*1000/1000000)</f>
        <v>5.0000000000000001E-3</v>
      </c>
      <c r="K40" s="217"/>
      <c r="L40" s="284">
        <v>0</v>
      </c>
      <c r="M40" s="217">
        <f>(22*1000/1000000)</f>
        <v>2.1999999999999999E-2</v>
      </c>
      <c r="N40" s="217">
        <f>G40</f>
        <v>1.7639999999999999E-2</v>
      </c>
      <c r="O40" s="217">
        <f t="shared" si="1"/>
        <v>2.7E-2</v>
      </c>
      <c r="P40" s="217">
        <f t="shared" si="2"/>
        <v>-9.3600000000000003E-3</v>
      </c>
      <c r="Q40" s="289" t="s">
        <v>1205</v>
      </c>
      <c r="R40" s="289" t="s">
        <v>182</v>
      </c>
      <c r="S40" s="215" t="s">
        <v>282</v>
      </c>
      <c r="T40" s="215" t="s">
        <v>310</v>
      </c>
    </row>
    <row r="41" spans="1:20" ht="72.75" customHeight="1" x14ac:dyDescent="0.2">
      <c r="A41" s="333"/>
      <c r="B41" s="333"/>
      <c r="C41" s="333"/>
      <c r="D41" s="216" t="s">
        <v>27</v>
      </c>
      <c r="E41" s="283">
        <v>7.5</v>
      </c>
      <c r="F41" s="217">
        <v>0.52</v>
      </c>
      <c r="G41" s="287">
        <f>F41*9%</f>
        <v>4.6800000000000001E-2</v>
      </c>
      <c r="H41" s="217"/>
      <c r="I41" s="217">
        <v>0</v>
      </c>
      <c r="J41" s="217">
        <f>(0*1000/1000000)</f>
        <v>0</v>
      </c>
      <c r="K41" s="217"/>
      <c r="L41" s="284">
        <v>0</v>
      </c>
      <c r="M41" s="217">
        <f>(0*1000/1000000)</f>
        <v>0</v>
      </c>
      <c r="N41" s="217">
        <f>G41</f>
        <v>4.6800000000000001E-2</v>
      </c>
      <c r="O41" s="217">
        <f t="shared" si="1"/>
        <v>0</v>
      </c>
      <c r="P41" s="217">
        <f t="shared" si="2"/>
        <v>4.6800000000000001E-2</v>
      </c>
      <c r="Q41" s="289" t="s">
        <v>1247</v>
      </c>
      <c r="R41" s="289" t="s">
        <v>1248</v>
      </c>
      <c r="S41" s="215" t="s">
        <v>282</v>
      </c>
      <c r="T41" s="215" t="s">
        <v>283</v>
      </c>
    </row>
    <row r="42" spans="1:20" ht="63.75" customHeight="1" x14ac:dyDescent="0.2">
      <c r="A42" s="333">
        <v>4</v>
      </c>
      <c r="B42" s="333" t="s">
        <v>183</v>
      </c>
      <c r="C42" s="333" t="s">
        <v>1298</v>
      </c>
      <c r="D42" s="216" t="s">
        <v>18</v>
      </c>
      <c r="E42" s="283">
        <v>85</v>
      </c>
      <c r="F42" s="217">
        <v>316.49</v>
      </c>
      <c r="G42" s="287">
        <f t="shared" si="3"/>
        <v>28.484100000000005</v>
      </c>
      <c r="H42" s="217">
        <f>+F42*0.005</f>
        <v>1.5824500000000001</v>
      </c>
      <c r="I42" s="217">
        <v>0</v>
      </c>
      <c r="J42" s="217">
        <v>0</v>
      </c>
      <c r="K42" s="217">
        <f>+F42*(8.5/100)</f>
        <v>26.901650000000004</v>
      </c>
      <c r="L42" s="284">
        <v>0</v>
      </c>
      <c r="M42" s="217">
        <v>0</v>
      </c>
      <c r="N42" s="217">
        <f t="shared" si="0"/>
        <v>28.484100000000005</v>
      </c>
      <c r="O42" s="217">
        <f t="shared" si="1"/>
        <v>0</v>
      </c>
      <c r="P42" s="217">
        <f t="shared" si="2"/>
        <v>28.484100000000005</v>
      </c>
      <c r="Q42" s="217" t="s">
        <v>1128</v>
      </c>
      <c r="R42" s="217" t="s">
        <v>184</v>
      </c>
      <c r="S42" s="215" t="s">
        <v>282</v>
      </c>
      <c r="T42" s="215" t="s">
        <v>283</v>
      </c>
    </row>
    <row r="43" spans="1:20" ht="63" customHeight="1" x14ac:dyDescent="0.2">
      <c r="A43" s="333"/>
      <c r="B43" s="333"/>
      <c r="C43" s="333"/>
      <c r="D43" s="216" t="s">
        <v>20</v>
      </c>
      <c r="E43" s="283">
        <v>85</v>
      </c>
      <c r="F43" s="217">
        <v>0</v>
      </c>
      <c r="G43" s="287">
        <f t="shared" si="3"/>
        <v>0</v>
      </c>
      <c r="H43" s="217">
        <f>+F43*0.005</f>
        <v>0</v>
      </c>
      <c r="I43" s="217">
        <v>0</v>
      </c>
      <c r="J43" s="217">
        <v>0</v>
      </c>
      <c r="K43" s="217">
        <f>+F43*(8.5/100)</f>
        <v>0</v>
      </c>
      <c r="L43" s="284">
        <v>0</v>
      </c>
      <c r="M43" s="217">
        <v>0</v>
      </c>
      <c r="N43" s="217">
        <f t="shared" si="0"/>
        <v>0</v>
      </c>
      <c r="O43" s="217">
        <f t="shared" si="1"/>
        <v>0</v>
      </c>
      <c r="P43" s="217">
        <f t="shared" si="2"/>
        <v>0</v>
      </c>
      <c r="Q43" s="217" t="s">
        <v>1137</v>
      </c>
      <c r="R43" s="216" t="s">
        <v>185</v>
      </c>
      <c r="S43" s="215" t="s">
        <v>344</v>
      </c>
      <c r="T43" s="215"/>
    </row>
    <row r="44" spans="1:20" ht="63.75" customHeight="1" x14ac:dyDescent="0.2">
      <c r="A44" s="333"/>
      <c r="B44" s="333"/>
      <c r="C44" s="333"/>
      <c r="D44" s="216" t="s">
        <v>21</v>
      </c>
      <c r="E44" s="283">
        <v>32.840000000000003</v>
      </c>
      <c r="F44" s="217">
        <v>287.7</v>
      </c>
      <c r="G44" s="287">
        <f t="shared" si="3"/>
        <v>31.646999999999998</v>
      </c>
      <c r="H44" s="217">
        <f>+F44*0.01</f>
        <v>2.8769999999999998</v>
      </c>
      <c r="I44" s="217">
        <v>0</v>
      </c>
      <c r="J44" s="217">
        <f>(0*1000/1000000)</f>
        <v>0</v>
      </c>
      <c r="K44" s="217">
        <f>+F44*(10/100)</f>
        <v>28.77</v>
      </c>
      <c r="L44" s="284">
        <v>0</v>
      </c>
      <c r="M44" s="217">
        <f>(0*1000/1000000)</f>
        <v>0</v>
      </c>
      <c r="N44" s="217">
        <f t="shared" si="0"/>
        <v>31.646999999999998</v>
      </c>
      <c r="O44" s="217">
        <f t="shared" si="1"/>
        <v>0</v>
      </c>
      <c r="P44" s="217">
        <f t="shared" si="2"/>
        <v>31.646999999999998</v>
      </c>
      <c r="Q44" s="217" t="s">
        <v>1123</v>
      </c>
      <c r="R44" s="216" t="s">
        <v>186</v>
      </c>
      <c r="S44" s="215" t="s">
        <v>282</v>
      </c>
      <c r="T44" s="215" t="s">
        <v>283</v>
      </c>
    </row>
    <row r="45" spans="1:20" ht="65.25" customHeight="1" x14ac:dyDescent="0.2">
      <c r="A45" s="333"/>
      <c r="B45" s="333"/>
      <c r="C45" s="333"/>
      <c r="D45" s="216" t="s">
        <v>22</v>
      </c>
      <c r="E45" s="283">
        <v>32.840000000000003</v>
      </c>
      <c r="F45" s="217">
        <v>0</v>
      </c>
      <c r="G45" s="287">
        <f t="shared" si="3"/>
        <v>0</v>
      </c>
      <c r="H45" s="217">
        <f>+F45*0.02</f>
        <v>0</v>
      </c>
      <c r="I45" s="217">
        <v>0</v>
      </c>
      <c r="J45" s="217">
        <f>(0*1000/1000000)</f>
        <v>0</v>
      </c>
      <c r="K45" s="217">
        <f>+F45*(10.5/100)</f>
        <v>0</v>
      </c>
      <c r="L45" s="284">
        <v>0</v>
      </c>
      <c r="M45" s="217">
        <f>(0*1000/1000000)</f>
        <v>0</v>
      </c>
      <c r="N45" s="217">
        <f t="shared" si="0"/>
        <v>0</v>
      </c>
      <c r="O45" s="217">
        <f t="shared" si="1"/>
        <v>0</v>
      </c>
      <c r="P45" s="217">
        <f t="shared" si="2"/>
        <v>0</v>
      </c>
      <c r="Q45" s="217" t="s">
        <v>1167</v>
      </c>
      <c r="R45" s="216" t="s">
        <v>1168</v>
      </c>
      <c r="S45" s="215" t="s">
        <v>188</v>
      </c>
      <c r="T45" s="215"/>
    </row>
    <row r="46" spans="1:20" ht="61.5" customHeight="1" x14ac:dyDescent="0.2">
      <c r="A46" s="333"/>
      <c r="B46" s="333"/>
      <c r="C46" s="333"/>
      <c r="D46" s="223" t="s">
        <v>24</v>
      </c>
      <c r="E46" s="288">
        <v>85</v>
      </c>
      <c r="F46" s="271">
        <v>253.54</v>
      </c>
      <c r="G46" s="287">
        <f>F46*9%</f>
        <v>22.8186</v>
      </c>
      <c r="H46" s="217"/>
      <c r="I46" s="271">
        <v>0</v>
      </c>
      <c r="J46" s="271">
        <f>(0*1000/1000000)</f>
        <v>0</v>
      </c>
      <c r="K46" s="217"/>
      <c r="L46" s="296">
        <v>0</v>
      </c>
      <c r="M46" s="271">
        <f>(0*1000/1000000)</f>
        <v>0</v>
      </c>
      <c r="N46" s="217">
        <f>G46</f>
        <v>22.8186</v>
      </c>
      <c r="O46" s="271">
        <f t="shared" si="1"/>
        <v>0</v>
      </c>
      <c r="P46" s="271">
        <f t="shared" si="2"/>
        <v>22.8186</v>
      </c>
      <c r="Q46" s="297" t="s">
        <v>1181</v>
      </c>
      <c r="R46" s="297" t="s">
        <v>1182</v>
      </c>
      <c r="S46" s="215" t="s">
        <v>282</v>
      </c>
      <c r="T46" s="215" t="s">
        <v>283</v>
      </c>
    </row>
    <row r="47" spans="1:20" ht="51" customHeight="1" x14ac:dyDescent="0.2">
      <c r="A47" s="333"/>
      <c r="B47" s="333"/>
      <c r="C47" s="333"/>
      <c r="D47" s="223" t="s">
        <v>27</v>
      </c>
      <c r="E47" s="288">
        <v>85</v>
      </c>
      <c r="F47" s="271">
        <v>226.94</v>
      </c>
      <c r="G47" s="287">
        <f>F47*9%</f>
        <v>20.424599999999998</v>
      </c>
      <c r="H47" s="217"/>
      <c r="I47" s="271">
        <v>0</v>
      </c>
      <c r="J47" s="271">
        <f>(0*1000/1000000)</f>
        <v>0</v>
      </c>
      <c r="K47" s="217"/>
      <c r="L47" s="296">
        <v>0</v>
      </c>
      <c r="M47" s="271">
        <f>(0*1000/1000000)</f>
        <v>0</v>
      </c>
      <c r="N47" s="217">
        <f>G47</f>
        <v>20.424599999999998</v>
      </c>
      <c r="O47" s="271">
        <f t="shared" si="1"/>
        <v>0</v>
      </c>
      <c r="P47" s="290">
        <f t="shared" si="2"/>
        <v>20.424599999999998</v>
      </c>
      <c r="Q47" s="297" t="s">
        <v>1222</v>
      </c>
      <c r="R47" s="297" t="s">
        <v>1223</v>
      </c>
      <c r="S47" s="215" t="s">
        <v>282</v>
      </c>
      <c r="T47" s="215" t="s">
        <v>283</v>
      </c>
    </row>
    <row r="48" spans="1:20" ht="69.75" customHeight="1" x14ac:dyDescent="0.2">
      <c r="A48" s="335">
        <v>5</v>
      </c>
      <c r="B48" s="335" t="s">
        <v>1264</v>
      </c>
      <c r="C48" s="343" t="s">
        <v>1298</v>
      </c>
      <c r="D48" s="216" t="s">
        <v>18</v>
      </c>
      <c r="E48" s="283">
        <v>60</v>
      </c>
      <c r="F48" s="217">
        <v>95.801649999999995</v>
      </c>
      <c r="G48" s="287">
        <f t="shared" si="3"/>
        <v>8.6221484999999998</v>
      </c>
      <c r="H48" s="217">
        <f>+F48*0.005</f>
        <v>0.47900824999999997</v>
      </c>
      <c r="I48" s="217">
        <v>0</v>
      </c>
      <c r="J48" s="217">
        <v>0</v>
      </c>
      <c r="K48" s="217">
        <f>+F48*(8.5/100)</f>
        <v>8.1431402500000001</v>
      </c>
      <c r="L48" s="284">
        <v>0</v>
      </c>
      <c r="M48" s="217">
        <f>8143/1000</f>
        <v>8.1430000000000007</v>
      </c>
      <c r="N48" s="217">
        <f t="shared" si="0"/>
        <v>8.6221484999999998</v>
      </c>
      <c r="O48" s="217">
        <f t="shared" si="1"/>
        <v>8.1430000000000007</v>
      </c>
      <c r="P48" s="217">
        <f t="shared" si="2"/>
        <v>0.47914849999999909</v>
      </c>
      <c r="Q48" s="217" t="s">
        <v>1127</v>
      </c>
      <c r="R48" s="217" t="s">
        <v>189</v>
      </c>
      <c r="S48" s="215" t="s">
        <v>282</v>
      </c>
      <c r="T48" s="215" t="s">
        <v>283</v>
      </c>
    </row>
    <row r="49" spans="1:20" s="286" customFormat="1" ht="72.75" customHeight="1" x14ac:dyDescent="0.2">
      <c r="A49" s="335"/>
      <c r="B49" s="335"/>
      <c r="C49" s="343"/>
      <c r="D49" s="216" t="s">
        <v>20</v>
      </c>
      <c r="E49" s="283">
        <v>60</v>
      </c>
      <c r="F49" s="217">
        <v>189.785</v>
      </c>
      <c r="G49" s="287">
        <f t="shared" si="3"/>
        <v>17.080649999999999</v>
      </c>
      <c r="H49" s="217">
        <f>+F49*0.005</f>
        <v>0.94892500000000002</v>
      </c>
      <c r="I49" s="217">
        <v>0</v>
      </c>
      <c r="J49" s="217">
        <v>0</v>
      </c>
      <c r="K49" s="217">
        <f>+F49*(8.5/100)</f>
        <v>16.131724999999999</v>
      </c>
      <c r="L49" s="284">
        <v>0</v>
      </c>
      <c r="M49" s="217">
        <f>16132/1000</f>
        <v>16.132000000000001</v>
      </c>
      <c r="N49" s="217">
        <f t="shared" si="0"/>
        <v>17.080649999999999</v>
      </c>
      <c r="O49" s="217">
        <f t="shared" si="1"/>
        <v>16.132000000000001</v>
      </c>
      <c r="P49" s="217">
        <f t="shared" si="2"/>
        <v>0.94864999999999711</v>
      </c>
      <c r="Q49" s="217" t="s">
        <v>1136</v>
      </c>
      <c r="R49" s="216" t="s">
        <v>190</v>
      </c>
      <c r="S49" s="285" t="s">
        <v>282</v>
      </c>
      <c r="T49" s="285" t="s">
        <v>283</v>
      </c>
    </row>
    <row r="50" spans="1:20" s="286" customFormat="1" ht="54.75" customHeight="1" x14ac:dyDescent="0.2">
      <c r="A50" s="335"/>
      <c r="B50" s="335"/>
      <c r="C50" s="343"/>
      <c r="D50" s="216" t="s">
        <v>21</v>
      </c>
      <c r="E50" s="283">
        <v>60</v>
      </c>
      <c r="F50" s="217">
        <v>214.94200000000001</v>
      </c>
      <c r="G50" s="287">
        <f t="shared" si="3"/>
        <v>23.643620000000002</v>
      </c>
      <c r="H50" s="217">
        <f>+F50*0.01</f>
        <v>2.1494200000000001</v>
      </c>
      <c r="I50" s="217">
        <v>0</v>
      </c>
      <c r="J50" s="217">
        <f>((458+578)*1000/1000000)</f>
        <v>1.036</v>
      </c>
      <c r="K50" s="217">
        <f>+F50*(10/100)</f>
        <v>21.494200000000003</v>
      </c>
      <c r="L50" s="284">
        <v>0</v>
      </c>
      <c r="M50" s="217">
        <f>((4583+5783)*1000/1000000)</f>
        <v>10.366</v>
      </c>
      <c r="N50" s="217">
        <f t="shared" si="0"/>
        <v>23.643620000000002</v>
      </c>
      <c r="O50" s="217">
        <f t="shared" si="1"/>
        <v>11.401999999999999</v>
      </c>
      <c r="P50" s="217">
        <f t="shared" si="2"/>
        <v>12.241620000000003</v>
      </c>
      <c r="Q50" s="217" t="s">
        <v>1123</v>
      </c>
      <c r="R50" s="216" t="s">
        <v>191</v>
      </c>
      <c r="S50" s="285" t="s">
        <v>282</v>
      </c>
      <c r="T50" s="285" t="s">
        <v>283</v>
      </c>
    </row>
    <row r="51" spans="1:20" s="286" customFormat="1" ht="72.75" customHeight="1" x14ac:dyDescent="0.2">
      <c r="A51" s="335"/>
      <c r="B51" s="335"/>
      <c r="C51" s="343"/>
      <c r="D51" s="216" t="s">
        <v>22</v>
      </c>
      <c r="E51" s="283">
        <v>60</v>
      </c>
      <c r="F51" s="217">
        <v>266.13099999999997</v>
      </c>
      <c r="G51" s="287">
        <f t="shared" si="3"/>
        <v>33.266374999999996</v>
      </c>
      <c r="H51" s="217">
        <f>+F51*0.02</f>
        <v>5.3226199999999997</v>
      </c>
      <c r="I51" s="217">
        <v>0</v>
      </c>
      <c r="J51" s="217">
        <v>0</v>
      </c>
      <c r="K51" s="217">
        <f>+F51*(10.5/100)</f>
        <v>27.943754999999996</v>
      </c>
      <c r="L51" s="284">
        <v>0</v>
      </c>
      <c r="M51" s="284">
        <v>0</v>
      </c>
      <c r="N51" s="217">
        <f t="shared" si="0"/>
        <v>33.266374999999996</v>
      </c>
      <c r="O51" s="217">
        <f t="shared" si="1"/>
        <v>0</v>
      </c>
      <c r="P51" s="217">
        <f t="shared" si="2"/>
        <v>33.266374999999996</v>
      </c>
      <c r="Q51" s="217" t="s">
        <v>1146</v>
      </c>
      <c r="R51" s="216" t="s">
        <v>192</v>
      </c>
      <c r="S51" s="285" t="s">
        <v>282</v>
      </c>
      <c r="T51" s="285" t="s">
        <v>283</v>
      </c>
    </row>
    <row r="52" spans="1:20" s="286" customFormat="1" ht="54.75" customHeight="1" x14ac:dyDescent="0.2">
      <c r="A52" s="335"/>
      <c r="B52" s="335"/>
      <c r="C52" s="343"/>
      <c r="D52" s="216" t="s">
        <v>24</v>
      </c>
      <c r="E52" s="283">
        <v>60</v>
      </c>
      <c r="F52" s="217">
        <v>298.37900000000002</v>
      </c>
      <c r="G52" s="287">
        <f>F52*9%</f>
        <v>26.854110000000002</v>
      </c>
      <c r="H52" s="217"/>
      <c r="I52" s="217">
        <v>0</v>
      </c>
      <c r="J52" s="217">
        <f>(3809*1000/1000000)</f>
        <v>3.8090000000000002</v>
      </c>
      <c r="K52" s="217"/>
      <c r="L52" s="284">
        <v>0</v>
      </c>
      <c r="M52" s="217">
        <f>((4319)*1000/1000000)</f>
        <v>4.319</v>
      </c>
      <c r="N52" s="217">
        <f>G52</f>
        <v>26.854110000000002</v>
      </c>
      <c r="O52" s="217">
        <f t="shared" si="1"/>
        <v>8.1280000000000001</v>
      </c>
      <c r="P52" s="217">
        <f t="shared" si="2"/>
        <v>18.726110000000002</v>
      </c>
      <c r="Q52" s="289" t="s">
        <v>1206</v>
      </c>
      <c r="R52" s="289" t="s">
        <v>193</v>
      </c>
      <c r="S52" s="285" t="s">
        <v>282</v>
      </c>
      <c r="T52" s="285" t="s">
        <v>283</v>
      </c>
    </row>
    <row r="53" spans="1:20" s="286" customFormat="1" ht="54.75" customHeight="1" x14ac:dyDescent="0.2">
      <c r="A53" s="335"/>
      <c r="B53" s="335"/>
      <c r="C53" s="338" t="s">
        <v>1299</v>
      </c>
      <c r="D53" s="254" t="s">
        <v>18</v>
      </c>
      <c r="E53" s="279">
        <v>60</v>
      </c>
      <c r="F53" s="258">
        <v>95.802000000000007</v>
      </c>
      <c r="G53" s="292">
        <v>8.6219999999999999</v>
      </c>
      <c r="H53" s="258">
        <v>0.47899999999999998</v>
      </c>
      <c r="I53" s="258">
        <v>0</v>
      </c>
      <c r="J53" s="258">
        <v>0.47899999999999998</v>
      </c>
      <c r="K53" s="258">
        <v>8.1430000000000007</v>
      </c>
      <c r="L53" s="293">
        <v>0</v>
      </c>
      <c r="M53" s="258">
        <v>8.1430000000000007</v>
      </c>
      <c r="N53" s="258">
        <v>8.6219999999999999</v>
      </c>
      <c r="O53" s="258">
        <v>8.6219999999999999</v>
      </c>
      <c r="P53" s="258">
        <v>0</v>
      </c>
      <c r="Q53" s="258"/>
      <c r="R53" s="258"/>
      <c r="S53" s="285"/>
      <c r="T53" s="285"/>
    </row>
    <row r="54" spans="1:20" s="286" customFormat="1" ht="54.75" customHeight="1" x14ac:dyDescent="0.2">
      <c r="A54" s="335"/>
      <c r="B54" s="335"/>
      <c r="C54" s="338"/>
      <c r="D54" s="254" t="s">
        <v>20</v>
      </c>
      <c r="E54" s="279">
        <v>60</v>
      </c>
      <c r="F54" s="258">
        <v>189.785</v>
      </c>
      <c r="G54" s="292">
        <v>17.081</v>
      </c>
      <c r="H54" s="258">
        <v>0.94899999999999995</v>
      </c>
      <c r="I54" s="258">
        <v>0</v>
      </c>
      <c r="J54" s="258">
        <v>0.94899999999999995</v>
      </c>
      <c r="K54" s="258">
        <v>16.132000000000001</v>
      </c>
      <c r="L54" s="293">
        <v>0</v>
      </c>
      <c r="M54" s="258">
        <v>16.132000000000001</v>
      </c>
      <c r="N54" s="258">
        <v>17.081</v>
      </c>
      <c r="O54" s="258">
        <v>17.081</v>
      </c>
      <c r="P54" s="258">
        <f>+N54-O54</f>
        <v>0</v>
      </c>
      <c r="Q54" s="258"/>
      <c r="R54" s="254"/>
      <c r="S54" s="285"/>
      <c r="T54" s="285"/>
    </row>
    <row r="55" spans="1:20" s="286" customFormat="1" ht="54.75" customHeight="1" x14ac:dyDescent="0.2">
      <c r="A55" s="335"/>
      <c r="B55" s="335"/>
      <c r="C55" s="338"/>
      <c r="D55" s="254" t="s">
        <v>21</v>
      </c>
      <c r="E55" s="258">
        <v>60</v>
      </c>
      <c r="F55" s="258">
        <v>214.92</v>
      </c>
      <c r="G55" s="258">
        <v>23.643999999999998</v>
      </c>
      <c r="H55" s="258">
        <v>2.149</v>
      </c>
      <c r="I55" s="258">
        <v>0</v>
      </c>
      <c r="J55" s="258">
        <v>2.1480000000000001</v>
      </c>
      <c r="K55" s="258">
        <v>21.494</v>
      </c>
      <c r="L55" s="258">
        <v>0</v>
      </c>
      <c r="M55" s="258">
        <v>21.495999999999999</v>
      </c>
      <c r="N55" s="258">
        <v>23.643999999999998</v>
      </c>
      <c r="O55" s="258">
        <v>23.643999999999998</v>
      </c>
      <c r="P55" s="258">
        <f>+N55-O55</f>
        <v>0</v>
      </c>
      <c r="Q55" s="258"/>
      <c r="R55" s="254"/>
      <c r="S55" s="285"/>
      <c r="T55" s="285"/>
    </row>
    <row r="56" spans="1:20" s="286" customFormat="1" ht="54.75" customHeight="1" x14ac:dyDescent="0.2">
      <c r="A56" s="335"/>
      <c r="B56" s="335"/>
      <c r="C56" s="338"/>
      <c r="D56" s="254" t="s">
        <v>22</v>
      </c>
      <c r="E56" s="258">
        <v>60</v>
      </c>
      <c r="F56" s="258">
        <v>266.13099999999997</v>
      </c>
      <c r="G56" s="258">
        <v>33.265999999999998</v>
      </c>
      <c r="H56" s="258">
        <v>5.3230000000000004</v>
      </c>
      <c r="I56" s="258">
        <v>0</v>
      </c>
      <c r="J56" s="258">
        <v>5.3209999999999997</v>
      </c>
      <c r="K56" s="258">
        <v>27.943999999999999</v>
      </c>
      <c r="L56" s="258">
        <v>0</v>
      </c>
      <c r="M56" s="258">
        <v>27.943999999999999</v>
      </c>
      <c r="N56" s="258">
        <v>33.265999999999998</v>
      </c>
      <c r="O56" s="258">
        <v>33.265000000000001</v>
      </c>
      <c r="P56" s="258">
        <f>+N56-O56</f>
        <v>9.9999999999766942E-4</v>
      </c>
      <c r="Q56" s="258"/>
      <c r="R56" s="254"/>
      <c r="S56" s="285"/>
      <c r="T56" s="285"/>
    </row>
    <row r="57" spans="1:20" s="286" customFormat="1" ht="54.75" customHeight="1" x14ac:dyDescent="0.2">
      <c r="A57" s="335"/>
      <c r="B57" s="335"/>
      <c r="C57" s="338"/>
      <c r="D57" s="254" t="s">
        <v>24</v>
      </c>
      <c r="E57" s="258">
        <v>60</v>
      </c>
      <c r="F57" s="258">
        <v>298.37900000000002</v>
      </c>
      <c r="G57" s="258">
        <v>41.027000000000001</v>
      </c>
      <c r="H57" s="258">
        <v>8.2050000000000001</v>
      </c>
      <c r="I57" s="258">
        <v>0</v>
      </c>
      <c r="J57" s="258">
        <v>3.8090000000000002</v>
      </c>
      <c r="K57" s="258">
        <v>32.822000000000003</v>
      </c>
      <c r="L57" s="258">
        <v>0</v>
      </c>
      <c r="M57" s="258">
        <v>23.327999999999999</v>
      </c>
      <c r="N57" s="258">
        <v>41.027000000000001</v>
      </c>
      <c r="O57" s="258">
        <v>27.137</v>
      </c>
      <c r="P57" s="258">
        <f>+N57-O57</f>
        <v>13.89</v>
      </c>
      <c r="Q57" s="258"/>
      <c r="R57" s="295"/>
      <c r="S57" s="285"/>
      <c r="T57" s="285"/>
    </row>
    <row r="58" spans="1:20" s="286" customFormat="1" ht="54.75" customHeight="1" x14ac:dyDescent="0.2">
      <c r="A58" s="335"/>
      <c r="B58" s="335"/>
      <c r="C58" s="338"/>
      <c r="D58" s="254" t="s">
        <v>27</v>
      </c>
      <c r="E58" s="258">
        <v>60</v>
      </c>
      <c r="F58" s="258">
        <f>133.331+142.248</f>
        <v>275.57899999999995</v>
      </c>
      <c r="G58" s="258">
        <f>20+12.802</f>
        <v>32.802</v>
      </c>
      <c r="H58" s="258">
        <f>4.667+0.711</f>
        <v>5.3780000000000001</v>
      </c>
      <c r="I58" s="258">
        <v>0</v>
      </c>
      <c r="J58" s="258">
        <v>0</v>
      </c>
      <c r="K58" s="258">
        <f>15.333+12.091</f>
        <v>27.423999999999999</v>
      </c>
      <c r="L58" s="258">
        <v>0</v>
      </c>
      <c r="M58" s="258">
        <v>0</v>
      </c>
      <c r="N58" s="258">
        <f>H58+K58</f>
        <v>32.802</v>
      </c>
      <c r="O58" s="258">
        <v>0</v>
      </c>
      <c r="P58" s="258">
        <v>32.802</v>
      </c>
      <c r="Q58" s="295"/>
      <c r="R58" s="295"/>
      <c r="S58" s="285"/>
      <c r="T58" s="285"/>
    </row>
    <row r="59" spans="1:20" ht="66.75" customHeight="1" x14ac:dyDescent="0.2">
      <c r="A59" s="335">
        <v>6</v>
      </c>
      <c r="B59" s="335" t="s">
        <v>1265</v>
      </c>
      <c r="C59" s="333" t="s">
        <v>1298</v>
      </c>
      <c r="D59" s="216" t="s">
        <v>18</v>
      </c>
      <c r="E59" s="283">
        <v>15</v>
      </c>
      <c r="F59" s="217"/>
      <c r="G59" s="287">
        <f t="shared" si="3"/>
        <v>0</v>
      </c>
      <c r="H59" s="217">
        <f>+F59*0.005</f>
        <v>0</v>
      </c>
      <c r="I59" s="217">
        <v>0</v>
      </c>
      <c r="J59" s="217">
        <v>0</v>
      </c>
      <c r="K59" s="217">
        <f>+F59*(8.5/100)</f>
        <v>0</v>
      </c>
      <c r="L59" s="284">
        <v>0</v>
      </c>
      <c r="M59" s="217">
        <f>6801/1000</f>
        <v>6.8010000000000002</v>
      </c>
      <c r="N59" s="217">
        <f t="shared" si="0"/>
        <v>0</v>
      </c>
      <c r="O59" s="217">
        <f t="shared" si="1"/>
        <v>6.8010000000000002</v>
      </c>
      <c r="P59" s="217">
        <f t="shared" si="2"/>
        <v>-6.8010000000000002</v>
      </c>
      <c r="Q59" s="217" t="s">
        <v>1126</v>
      </c>
      <c r="R59" s="217" t="s">
        <v>189</v>
      </c>
      <c r="S59" s="215" t="s">
        <v>282</v>
      </c>
      <c r="T59" s="215" t="s">
        <v>283</v>
      </c>
    </row>
    <row r="60" spans="1:20" ht="54.75" customHeight="1" x14ac:dyDescent="0.2">
      <c r="A60" s="335"/>
      <c r="B60" s="335"/>
      <c r="C60" s="333"/>
      <c r="D60" s="216" t="s">
        <v>20</v>
      </c>
      <c r="E60" s="283">
        <v>15</v>
      </c>
      <c r="F60" s="217">
        <v>40.238</v>
      </c>
      <c r="G60" s="287">
        <f t="shared" si="3"/>
        <v>3.6214200000000001</v>
      </c>
      <c r="H60" s="217">
        <f>+F60*0.005</f>
        <v>0.20119000000000001</v>
      </c>
      <c r="I60" s="217">
        <v>0</v>
      </c>
      <c r="J60" s="217">
        <v>0</v>
      </c>
      <c r="K60" s="217">
        <f>+F60*(8.5/100)</f>
        <v>3.4202300000000001</v>
      </c>
      <c r="L60" s="284">
        <v>0</v>
      </c>
      <c r="M60" s="217">
        <f>3420/1000</f>
        <v>3.42</v>
      </c>
      <c r="N60" s="217">
        <f t="shared" si="0"/>
        <v>3.6214200000000001</v>
      </c>
      <c r="O60" s="217">
        <f t="shared" si="1"/>
        <v>3.42</v>
      </c>
      <c r="P60" s="217">
        <f t="shared" si="2"/>
        <v>0.20142000000000015</v>
      </c>
      <c r="Q60" s="217" t="s">
        <v>1135</v>
      </c>
      <c r="R60" s="216" t="s">
        <v>190</v>
      </c>
      <c r="S60" s="215" t="s">
        <v>282</v>
      </c>
      <c r="T60" s="215" t="s">
        <v>283</v>
      </c>
    </row>
    <row r="61" spans="1:20" ht="54.75" customHeight="1" x14ac:dyDescent="0.2">
      <c r="A61" s="335"/>
      <c r="B61" s="335"/>
      <c r="C61" s="333"/>
      <c r="D61" s="216" t="s">
        <v>21</v>
      </c>
      <c r="E61" s="283">
        <v>15</v>
      </c>
      <c r="F61" s="217">
        <v>0</v>
      </c>
      <c r="G61" s="287">
        <f t="shared" si="3"/>
        <v>0</v>
      </c>
      <c r="H61" s="217">
        <f>+F61*0.01</f>
        <v>0</v>
      </c>
      <c r="I61" s="217">
        <v>0</v>
      </c>
      <c r="J61" s="217">
        <v>0</v>
      </c>
      <c r="K61" s="217">
        <f>+F61*(10/100)</f>
        <v>0</v>
      </c>
      <c r="L61" s="284">
        <v>0</v>
      </c>
      <c r="M61" s="217">
        <v>0</v>
      </c>
      <c r="N61" s="217">
        <f t="shared" si="0"/>
        <v>0</v>
      </c>
      <c r="O61" s="217">
        <f t="shared" si="1"/>
        <v>0</v>
      </c>
      <c r="P61" s="217">
        <f t="shared" si="2"/>
        <v>0</v>
      </c>
      <c r="Q61" s="217" t="s">
        <v>1123</v>
      </c>
      <c r="R61" s="216" t="s">
        <v>194</v>
      </c>
      <c r="S61" s="215" t="s">
        <v>1141</v>
      </c>
      <c r="T61" s="215"/>
    </row>
    <row r="62" spans="1:20" ht="65.25" customHeight="1" x14ac:dyDescent="0.2">
      <c r="A62" s="335"/>
      <c r="B62" s="335"/>
      <c r="C62" s="333"/>
      <c r="D62" s="216" t="s">
        <v>24</v>
      </c>
      <c r="E62" s="283">
        <v>15</v>
      </c>
      <c r="F62" s="217">
        <v>0</v>
      </c>
      <c r="G62" s="287">
        <f t="shared" si="3"/>
        <v>0</v>
      </c>
      <c r="H62" s="217">
        <f>+F62*0.005</f>
        <v>0</v>
      </c>
      <c r="I62" s="217">
        <v>0</v>
      </c>
      <c r="J62" s="217">
        <v>0</v>
      </c>
      <c r="K62" s="217">
        <f>F62*0.085</f>
        <v>0</v>
      </c>
      <c r="L62" s="284">
        <v>0</v>
      </c>
      <c r="M62" s="217">
        <v>0</v>
      </c>
      <c r="N62" s="217">
        <f t="shared" si="0"/>
        <v>0</v>
      </c>
      <c r="O62" s="217">
        <f t="shared" si="1"/>
        <v>0</v>
      </c>
      <c r="P62" s="217">
        <f t="shared" si="2"/>
        <v>0</v>
      </c>
      <c r="Q62" s="289" t="s">
        <v>195</v>
      </c>
      <c r="R62" s="289" t="s">
        <v>196</v>
      </c>
      <c r="S62" s="215" t="s">
        <v>1141</v>
      </c>
      <c r="T62" s="215" t="s">
        <v>283</v>
      </c>
    </row>
    <row r="63" spans="1:20" ht="65.25" customHeight="1" x14ac:dyDescent="0.2">
      <c r="A63" s="335"/>
      <c r="B63" s="335"/>
      <c r="C63" s="336" t="s">
        <v>1299</v>
      </c>
      <c r="D63" s="274" t="s">
        <v>18</v>
      </c>
      <c r="E63" s="298">
        <v>15</v>
      </c>
      <c r="F63" s="299">
        <v>80.007999999999996</v>
      </c>
      <c r="G63" s="300">
        <v>7.2009999999999996</v>
      </c>
      <c r="H63" s="299">
        <v>0.4</v>
      </c>
      <c r="I63" s="299">
        <v>0</v>
      </c>
      <c r="J63" s="299">
        <v>0.4</v>
      </c>
      <c r="K63" s="299">
        <v>6.8010000000000002</v>
      </c>
      <c r="L63" s="301">
        <v>0</v>
      </c>
      <c r="M63" s="299">
        <v>6.8010000000000002</v>
      </c>
      <c r="N63" s="299">
        <v>7.2009999999999996</v>
      </c>
      <c r="O63" s="299">
        <f t="shared" si="1"/>
        <v>7.2010000000000005</v>
      </c>
      <c r="P63" s="299">
        <v>0</v>
      </c>
      <c r="Q63" s="302"/>
      <c r="R63" s="303"/>
      <c r="S63" s="215"/>
      <c r="T63" s="215"/>
    </row>
    <row r="64" spans="1:20" ht="65.25" customHeight="1" x14ac:dyDescent="0.2">
      <c r="A64" s="335"/>
      <c r="B64" s="335"/>
      <c r="C64" s="336"/>
      <c r="D64" s="274" t="s">
        <v>20</v>
      </c>
      <c r="E64" s="298">
        <v>15</v>
      </c>
      <c r="F64" s="299">
        <v>40.238</v>
      </c>
      <c r="G64" s="300">
        <v>3.621</v>
      </c>
      <c r="H64" s="299">
        <v>0.20100000000000001</v>
      </c>
      <c r="I64" s="299">
        <v>0</v>
      </c>
      <c r="J64" s="299">
        <v>0.20100000000000001</v>
      </c>
      <c r="K64" s="299">
        <v>3.42</v>
      </c>
      <c r="L64" s="301">
        <v>0</v>
      </c>
      <c r="M64" s="299">
        <v>3.42</v>
      </c>
      <c r="N64" s="299">
        <v>3.621</v>
      </c>
      <c r="O64" s="299">
        <f t="shared" si="1"/>
        <v>3.621</v>
      </c>
      <c r="P64" s="299">
        <v>0</v>
      </c>
      <c r="Q64" s="302"/>
      <c r="R64" s="303"/>
      <c r="S64" s="215"/>
      <c r="T64" s="215"/>
    </row>
    <row r="65" spans="1:20" ht="65.25" customHeight="1" x14ac:dyDescent="0.2">
      <c r="A65" s="335"/>
      <c r="B65" s="335"/>
      <c r="C65" s="336"/>
      <c r="D65" s="274" t="s">
        <v>21</v>
      </c>
      <c r="E65" s="345" t="s">
        <v>1433</v>
      </c>
      <c r="F65" s="345"/>
      <c r="G65" s="345"/>
      <c r="H65" s="345"/>
      <c r="I65" s="345"/>
      <c r="J65" s="345"/>
      <c r="K65" s="345"/>
      <c r="L65" s="345"/>
      <c r="M65" s="345"/>
      <c r="N65" s="345"/>
      <c r="O65" s="345"/>
      <c r="P65" s="345"/>
      <c r="Q65" s="302"/>
      <c r="R65" s="303"/>
      <c r="S65" s="215"/>
      <c r="T65" s="215"/>
    </row>
    <row r="66" spans="1:20" ht="65.25" customHeight="1" x14ac:dyDescent="0.2">
      <c r="A66" s="335"/>
      <c r="B66" s="335"/>
      <c r="C66" s="336"/>
      <c r="D66" s="274" t="s">
        <v>22</v>
      </c>
      <c r="E66" s="345"/>
      <c r="F66" s="345"/>
      <c r="G66" s="345"/>
      <c r="H66" s="345"/>
      <c r="I66" s="345"/>
      <c r="J66" s="345"/>
      <c r="K66" s="345"/>
      <c r="L66" s="345"/>
      <c r="M66" s="345"/>
      <c r="N66" s="345"/>
      <c r="O66" s="345"/>
      <c r="P66" s="345"/>
      <c r="Q66" s="302"/>
      <c r="R66" s="303"/>
      <c r="S66" s="215"/>
      <c r="T66" s="215"/>
    </row>
    <row r="67" spans="1:20" ht="65.25" customHeight="1" x14ac:dyDescent="0.2">
      <c r="A67" s="335"/>
      <c r="B67" s="335"/>
      <c r="C67" s="336"/>
      <c r="D67" s="274" t="s">
        <v>24</v>
      </c>
      <c r="E67" s="345"/>
      <c r="F67" s="345"/>
      <c r="G67" s="345"/>
      <c r="H67" s="345"/>
      <c r="I67" s="345"/>
      <c r="J67" s="345"/>
      <c r="K67" s="345"/>
      <c r="L67" s="345"/>
      <c r="M67" s="345"/>
      <c r="N67" s="345"/>
      <c r="O67" s="345"/>
      <c r="P67" s="345"/>
      <c r="Q67" s="302"/>
      <c r="R67" s="303"/>
      <c r="S67" s="215"/>
      <c r="T67" s="215"/>
    </row>
    <row r="68" spans="1:20" ht="65.25" customHeight="1" x14ac:dyDescent="0.2">
      <c r="A68" s="335"/>
      <c r="B68" s="335"/>
      <c r="C68" s="336"/>
      <c r="D68" s="274" t="s">
        <v>27</v>
      </c>
      <c r="E68" s="345"/>
      <c r="F68" s="345"/>
      <c r="G68" s="345"/>
      <c r="H68" s="345"/>
      <c r="I68" s="345"/>
      <c r="J68" s="345"/>
      <c r="K68" s="345"/>
      <c r="L68" s="345"/>
      <c r="M68" s="345"/>
      <c r="N68" s="345"/>
      <c r="O68" s="345"/>
      <c r="P68" s="345"/>
      <c r="Q68" s="302"/>
      <c r="R68" s="303"/>
      <c r="S68" s="215"/>
      <c r="T68" s="215"/>
    </row>
    <row r="69" spans="1:20" ht="72.75" customHeight="1" x14ac:dyDescent="0.2">
      <c r="A69" s="333">
        <v>7</v>
      </c>
      <c r="B69" s="335" t="s">
        <v>197</v>
      </c>
      <c r="C69" s="330" t="s">
        <v>1298</v>
      </c>
      <c r="D69" s="216" t="s">
        <v>18</v>
      </c>
      <c r="E69" s="283">
        <v>37.5</v>
      </c>
      <c r="F69" s="217">
        <v>147.88</v>
      </c>
      <c r="G69" s="287">
        <f t="shared" si="3"/>
        <v>13.309200000000001</v>
      </c>
      <c r="H69" s="217">
        <f>+F69*0.005</f>
        <v>0.73939999999999995</v>
      </c>
      <c r="I69" s="217">
        <v>0</v>
      </c>
      <c r="J69" s="217">
        <f>(740*1000/10000000)</f>
        <v>7.3999999999999996E-2</v>
      </c>
      <c r="K69" s="217">
        <f>+F69*(8.5/100)</f>
        <v>12.569800000000001</v>
      </c>
      <c r="L69" s="284">
        <v>0</v>
      </c>
      <c r="M69" s="217">
        <f>(12570*1000/10000000)</f>
        <v>1.2569999999999999</v>
      </c>
      <c r="N69" s="217">
        <f t="shared" si="0"/>
        <v>13.309200000000001</v>
      </c>
      <c r="O69" s="217">
        <f t="shared" si="1"/>
        <v>1.331</v>
      </c>
      <c r="P69" s="217">
        <f t="shared" si="2"/>
        <v>11.978200000000001</v>
      </c>
      <c r="Q69" s="217" t="s">
        <v>1124</v>
      </c>
      <c r="R69" s="217" t="s">
        <v>198</v>
      </c>
      <c r="S69" s="215" t="s">
        <v>282</v>
      </c>
      <c r="T69" s="215" t="s">
        <v>283</v>
      </c>
    </row>
    <row r="70" spans="1:20" ht="72.75" customHeight="1" x14ac:dyDescent="0.2">
      <c r="A70" s="333"/>
      <c r="B70" s="335"/>
      <c r="C70" s="331"/>
      <c r="D70" s="216" t="s">
        <v>20</v>
      </c>
      <c r="E70" s="283">
        <v>37.5</v>
      </c>
      <c r="F70" s="217">
        <v>138.77000000000001</v>
      </c>
      <c r="G70" s="287">
        <f t="shared" si="3"/>
        <v>12.489300000000002</v>
      </c>
      <c r="H70" s="217">
        <f>+F70*0.005</f>
        <v>0.69385000000000008</v>
      </c>
      <c r="I70" s="217">
        <v>0</v>
      </c>
      <c r="J70" s="217">
        <f>694/1000</f>
        <v>0.69399999999999995</v>
      </c>
      <c r="K70" s="217">
        <f>+F70*(8.5/100)</f>
        <v>11.795450000000002</v>
      </c>
      <c r="L70" s="284">
        <v>0</v>
      </c>
      <c r="M70" s="217">
        <f>11795/1000</f>
        <v>11.795</v>
      </c>
      <c r="N70" s="217">
        <f t="shared" si="0"/>
        <v>12.489300000000002</v>
      </c>
      <c r="O70" s="217">
        <f t="shared" si="1"/>
        <v>12.489000000000001</v>
      </c>
      <c r="P70" s="217">
        <f t="shared" si="2"/>
        <v>3.0000000000107718E-4</v>
      </c>
      <c r="Q70" s="217" t="s">
        <v>1131</v>
      </c>
      <c r="R70" s="216" t="s">
        <v>199</v>
      </c>
      <c r="S70" s="215" t="s">
        <v>282</v>
      </c>
      <c r="T70" s="215" t="s">
        <v>283</v>
      </c>
    </row>
    <row r="71" spans="1:20" ht="72.75" customHeight="1" x14ac:dyDescent="0.2">
      <c r="A71" s="333"/>
      <c r="B71" s="335"/>
      <c r="C71" s="331"/>
      <c r="D71" s="216" t="s">
        <v>21</v>
      </c>
      <c r="E71" s="283">
        <v>37.5</v>
      </c>
      <c r="F71" s="217">
        <v>147.86000000000001</v>
      </c>
      <c r="G71" s="287">
        <f t="shared" si="3"/>
        <v>16.264600000000002</v>
      </c>
      <c r="H71" s="217">
        <f>+F71*0.01</f>
        <v>1.4786000000000001</v>
      </c>
      <c r="I71" s="217">
        <v>0</v>
      </c>
      <c r="J71" s="217">
        <f>(1479*1000/1000000)</f>
        <v>1.4790000000000001</v>
      </c>
      <c r="K71" s="217">
        <f>+F71*(10/100)</f>
        <v>14.786000000000001</v>
      </c>
      <c r="L71" s="284">
        <v>0</v>
      </c>
      <c r="M71" s="217">
        <f>(14786*1000/1000000)</f>
        <v>14.786</v>
      </c>
      <c r="N71" s="217">
        <f t="shared" si="0"/>
        <v>16.264600000000002</v>
      </c>
      <c r="O71" s="217">
        <f t="shared" si="1"/>
        <v>16.265000000000001</v>
      </c>
      <c r="P71" s="217">
        <f t="shared" si="2"/>
        <v>-3.9999999999906777E-4</v>
      </c>
      <c r="Q71" s="217" t="s">
        <v>1123</v>
      </c>
      <c r="R71" s="216" t="s">
        <v>200</v>
      </c>
      <c r="S71" s="215" t="s">
        <v>282</v>
      </c>
      <c r="T71" s="215" t="s">
        <v>310</v>
      </c>
    </row>
    <row r="72" spans="1:20" ht="72.75" customHeight="1" x14ac:dyDescent="0.2">
      <c r="A72" s="333"/>
      <c r="B72" s="335"/>
      <c r="C72" s="331"/>
      <c r="D72" s="216" t="s">
        <v>22</v>
      </c>
      <c r="E72" s="283">
        <v>30</v>
      </c>
      <c r="F72" s="217">
        <v>93.15</v>
      </c>
      <c r="G72" s="287">
        <f t="shared" si="3"/>
        <v>11.643749999999999</v>
      </c>
      <c r="H72" s="217">
        <f>+F72*0.02</f>
        <v>1.8630000000000002</v>
      </c>
      <c r="I72" s="217">
        <v>0</v>
      </c>
      <c r="J72" s="217">
        <f>(1863*1000/1000000)</f>
        <v>1.863</v>
      </c>
      <c r="K72" s="217">
        <f>+F72*(10.5/100)</f>
        <v>9.7807499999999994</v>
      </c>
      <c r="L72" s="284">
        <v>0</v>
      </c>
      <c r="M72" s="217">
        <f>(8827*1000/1000000)</f>
        <v>8.827</v>
      </c>
      <c r="N72" s="217">
        <f t="shared" si="0"/>
        <v>11.643749999999999</v>
      </c>
      <c r="O72" s="217">
        <f t="shared" si="1"/>
        <v>10.69</v>
      </c>
      <c r="P72" s="217">
        <f t="shared" si="2"/>
        <v>0.95374999999999943</v>
      </c>
      <c r="Q72" s="217" t="s">
        <v>1157</v>
      </c>
      <c r="R72" s="216" t="s">
        <v>202</v>
      </c>
      <c r="S72" s="215" t="s">
        <v>282</v>
      </c>
      <c r="T72" s="215" t="s">
        <v>283</v>
      </c>
    </row>
    <row r="73" spans="1:20" ht="72.75" customHeight="1" x14ac:dyDescent="0.2">
      <c r="A73" s="333"/>
      <c r="B73" s="335"/>
      <c r="C73" s="331"/>
      <c r="D73" s="216" t="s">
        <v>24</v>
      </c>
      <c r="E73" s="283">
        <v>7.6</v>
      </c>
      <c r="F73" s="217">
        <v>0.55000000000000004</v>
      </c>
      <c r="G73" s="287">
        <f>F73*9%</f>
        <v>4.9500000000000002E-2</v>
      </c>
      <c r="H73" s="217"/>
      <c r="I73" s="217">
        <v>0</v>
      </c>
      <c r="J73" s="217">
        <f>(0*1000/1000000)</f>
        <v>0</v>
      </c>
      <c r="K73" s="217"/>
      <c r="L73" s="284">
        <v>0</v>
      </c>
      <c r="M73" s="217">
        <f>(0*1000/1000000)</f>
        <v>0</v>
      </c>
      <c r="N73" s="217">
        <f t="shared" ref="N73:N78" si="6">G73</f>
        <v>4.9500000000000002E-2</v>
      </c>
      <c r="O73" s="217">
        <f t="shared" si="1"/>
        <v>0</v>
      </c>
      <c r="P73" s="217">
        <f t="shared" si="2"/>
        <v>4.9500000000000002E-2</v>
      </c>
      <c r="Q73" s="289" t="s">
        <v>1160</v>
      </c>
      <c r="R73" s="289" t="s">
        <v>204</v>
      </c>
      <c r="S73" s="215" t="s">
        <v>188</v>
      </c>
      <c r="T73" s="215"/>
    </row>
    <row r="74" spans="1:20" ht="72.75" customHeight="1" x14ac:dyDescent="0.2">
      <c r="A74" s="333"/>
      <c r="B74" s="335"/>
      <c r="C74" s="332"/>
      <c r="D74" s="216" t="s">
        <v>27</v>
      </c>
      <c r="E74" s="283">
        <v>7.6</v>
      </c>
      <c r="F74" s="217">
        <v>0.41</v>
      </c>
      <c r="G74" s="287">
        <f>F74*9%</f>
        <v>3.6899999999999995E-2</v>
      </c>
      <c r="H74" s="217"/>
      <c r="I74" s="217">
        <v>0</v>
      </c>
      <c r="J74" s="217">
        <f>(0*1000/1000000)</f>
        <v>0</v>
      </c>
      <c r="K74" s="217"/>
      <c r="L74" s="284">
        <v>0</v>
      </c>
      <c r="M74" s="217">
        <f>(0*1000/1000000)</f>
        <v>0</v>
      </c>
      <c r="N74" s="217">
        <f t="shared" si="6"/>
        <v>3.6899999999999995E-2</v>
      </c>
      <c r="O74" s="217">
        <f>+((I74+J74)+(L74+M74))</f>
        <v>0</v>
      </c>
      <c r="P74" s="217">
        <f>+N74-O74</f>
        <v>3.6899999999999995E-2</v>
      </c>
      <c r="Q74" s="289" t="s">
        <v>1157</v>
      </c>
      <c r="R74" s="289" t="s">
        <v>205</v>
      </c>
      <c r="S74" s="215"/>
      <c r="T74" s="215"/>
    </row>
    <row r="75" spans="1:20" ht="72.75" customHeight="1" x14ac:dyDescent="0.2">
      <c r="A75" s="333"/>
      <c r="B75" s="335"/>
      <c r="C75" s="327" t="s">
        <v>1312</v>
      </c>
      <c r="D75" s="254" t="s">
        <v>18</v>
      </c>
      <c r="E75" s="279">
        <v>37.5</v>
      </c>
      <c r="F75" s="258">
        <v>147.88</v>
      </c>
      <c r="G75" s="292">
        <f>9%*F75</f>
        <v>13.309199999999999</v>
      </c>
      <c r="H75" s="258"/>
      <c r="I75" s="258">
        <v>0</v>
      </c>
      <c r="J75" s="258">
        <v>0.74</v>
      </c>
      <c r="K75" s="258"/>
      <c r="L75" s="293">
        <v>0</v>
      </c>
      <c r="M75" s="258">
        <v>12.57</v>
      </c>
      <c r="N75" s="258">
        <f t="shared" si="6"/>
        <v>13.309199999999999</v>
      </c>
      <c r="O75" s="258">
        <f>J75+M75</f>
        <v>13.31</v>
      </c>
      <c r="P75" s="280">
        <f>+N75-O75</f>
        <v>-8.0000000000168825E-4</v>
      </c>
      <c r="Q75" s="295"/>
      <c r="R75" s="295"/>
      <c r="S75" s="215"/>
      <c r="T75" s="215"/>
    </row>
    <row r="76" spans="1:20" ht="72.75" customHeight="1" x14ac:dyDescent="0.2">
      <c r="A76" s="333"/>
      <c r="B76" s="335"/>
      <c r="C76" s="328"/>
      <c r="D76" s="254" t="s">
        <v>20</v>
      </c>
      <c r="E76" s="279">
        <v>37.5</v>
      </c>
      <c r="F76" s="258">
        <v>138.77000000000001</v>
      </c>
      <c r="G76" s="292">
        <f>9%*F76</f>
        <v>12.4893</v>
      </c>
      <c r="H76" s="258"/>
      <c r="I76" s="258">
        <v>0</v>
      </c>
      <c r="J76" s="258">
        <v>0.69399999999999995</v>
      </c>
      <c r="K76" s="258"/>
      <c r="L76" s="293">
        <v>0</v>
      </c>
      <c r="M76" s="258">
        <v>11.795</v>
      </c>
      <c r="N76" s="258">
        <f t="shared" si="6"/>
        <v>12.4893</v>
      </c>
      <c r="O76" s="258">
        <f>J76+M76</f>
        <v>12.489000000000001</v>
      </c>
      <c r="P76" s="280">
        <f>+N76-O76</f>
        <v>2.9999999999930083E-4</v>
      </c>
      <c r="Q76" s="295"/>
      <c r="R76" s="295"/>
      <c r="S76" s="215"/>
      <c r="T76" s="215"/>
    </row>
    <row r="77" spans="1:20" ht="72.75" customHeight="1" x14ac:dyDescent="0.2">
      <c r="A77" s="333"/>
      <c r="B77" s="335"/>
      <c r="C77" s="328"/>
      <c r="D77" s="254" t="s">
        <v>21</v>
      </c>
      <c r="E77" s="279">
        <v>37.5</v>
      </c>
      <c r="F77" s="258">
        <v>147.86000000000001</v>
      </c>
      <c r="G77" s="292">
        <f>9%*F77</f>
        <v>13.307400000000001</v>
      </c>
      <c r="H77" s="258"/>
      <c r="I77" s="258">
        <v>0</v>
      </c>
      <c r="J77" s="258">
        <v>1.4790000000000001</v>
      </c>
      <c r="K77" s="258"/>
      <c r="L77" s="293">
        <v>0</v>
      </c>
      <c r="M77" s="258">
        <v>14.786</v>
      </c>
      <c r="N77" s="258">
        <f t="shared" si="6"/>
        <v>13.307400000000001</v>
      </c>
      <c r="O77" s="258">
        <f>J77+M77</f>
        <v>16.265000000000001</v>
      </c>
      <c r="P77" s="280">
        <f>+N77-O77</f>
        <v>-2.9575999999999993</v>
      </c>
      <c r="Q77" s="295"/>
      <c r="R77" s="295"/>
      <c r="S77" s="215"/>
      <c r="T77" s="215"/>
    </row>
    <row r="78" spans="1:20" ht="72.75" customHeight="1" x14ac:dyDescent="0.2">
      <c r="A78" s="333"/>
      <c r="B78" s="335"/>
      <c r="C78" s="329"/>
      <c r="D78" s="254" t="s">
        <v>22</v>
      </c>
      <c r="E78" s="279">
        <v>20</v>
      </c>
      <c r="F78" s="258">
        <v>93.15</v>
      </c>
      <c r="G78" s="279">
        <f>9%*F78</f>
        <v>8.3834999999999997</v>
      </c>
      <c r="H78" s="258"/>
      <c r="I78" s="279">
        <v>0</v>
      </c>
      <c r="J78" s="258">
        <v>2.85</v>
      </c>
      <c r="K78" s="279"/>
      <c r="L78" s="258">
        <v>0</v>
      </c>
      <c r="M78" s="279">
        <v>16.484999999999999</v>
      </c>
      <c r="N78" s="258">
        <f t="shared" si="6"/>
        <v>8.3834999999999997</v>
      </c>
      <c r="O78" s="279">
        <f>J78+M78</f>
        <v>19.335000000000001</v>
      </c>
      <c r="P78" s="280">
        <f>+N78-O78</f>
        <v>-10.951500000000001</v>
      </c>
      <c r="Q78" s="323"/>
      <c r="R78" s="323"/>
      <c r="S78" s="215" t="s">
        <v>188</v>
      </c>
      <c r="T78" s="215"/>
    </row>
    <row r="79" spans="1:20" ht="72.75" customHeight="1" x14ac:dyDescent="0.2">
      <c r="A79" s="333">
        <v>8</v>
      </c>
      <c r="B79" s="333" t="s">
        <v>206</v>
      </c>
      <c r="C79" s="333" t="s">
        <v>1298</v>
      </c>
      <c r="D79" s="216" t="s">
        <v>18</v>
      </c>
      <c r="E79" s="283">
        <v>71</v>
      </c>
      <c r="F79" s="217">
        <v>221.88</v>
      </c>
      <c r="G79" s="287">
        <f t="shared" si="3"/>
        <v>19.969200000000001</v>
      </c>
      <c r="H79" s="217">
        <f>+F79*0.005</f>
        <v>1.1093999999999999</v>
      </c>
      <c r="I79" s="217">
        <v>0</v>
      </c>
      <c r="J79" s="217">
        <v>0</v>
      </c>
      <c r="K79" s="217">
        <f>+F79*(8.5/100)</f>
        <v>18.8598</v>
      </c>
      <c r="L79" s="284">
        <v>0</v>
      </c>
      <c r="M79" s="217">
        <v>0</v>
      </c>
      <c r="N79" s="217">
        <f t="shared" si="0"/>
        <v>19.969200000000001</v>
      </c>
      <c r="O79" s="217">
        <f t="shared" si="1"/>
        <v>0</v>
      </c>
      <c r="P79" s="217">
        <f t="shared" si="2"/>
        <v>19.969200000000001</v>
      </c>
      <c r="Q79" s="217" t="s">
        <v>1129</v>
      </c>
      <c r="R79" s="217" t="s">
        <v>207</v>
      </c>
      <c r="S79" s="215" t="s">
        <v>282</v>
      </c>
      <c r="T79" s="215" t="s">
        <v>283</v>
      </c>
    </row>
    <row r="80" spans="1:20" ht="72.75" customHeight="1" x14ac:dyDescent="0.2">
      <c r="A80" s="333"/>
      <c r="B80" s="333"/>
      <c r="C80" s="333"/>
      <c r="D80" s="216" t="s">
        <v>20</v>
      </c>
      <c r="E80" s="283">
        <v>71</v>
      </c>
      <c r="F80" s="217">
        <v>249.33</v>
      </c>
      <c r="G80" s="287">
        <f t="shared" si="3"/>
        <v>22.439700000000002</v>
      </c>
      <c r="H80" s="217">
        <f>+F80*0.005</f>
        <v>1.24665</v>
      </c>
      <c r="I80" s="217">
        <v>0</v>
      </c>
      <c r="J80" s="217">
        <v>0</v>
      </c>
      <c r="K80" s="217">
        <f>+F80*(8.5/100)</f>
        <v>21.193050000000003</v>
      </c>
      <c r="L80" s="284">
        <v>0</v>
      </c>
      <c r="M80" s="217">
        <v>0</v>
      </c>
      <c r="N80" s="217">
        <f t="shared" si="0"/>
        <v>22.439700000000002</v>
      </c>
      <c r="O80" s="217">
        <f t="shared" si="1"/>
        <v>0</v>
      </c>
      <c r="P80" s="217">
        <f t="shared" si="2"/>
        <v>22.439700000000002</v>
      </c>
      <c r="Q80" s="217" t="s">
        <v>1138</v>
      </c>
      <c r="R80" s="216" t="s">
        <v>1139</v>
      </c>
      <c r="S80" s="215" t="s">
        <v>282</v>
      </c>
      <c r="T80" s="215" t="s">
        <v>283</v>
      </c>
    </row>
    <row r="81" spans="1:20" ht="72.75" customHeight="1" x14ac:dyDescent="0.2">
      <c r="A81" s="333"/>
      <c r="B81" s="333"/>
      <c r="C81" s="333"/>
      <c r="D81" s="216" t="s">
        <v>21</v>
      </c>
      <c r="E81" s="283">
        <v>41</v>
      </c>
      <c r="F81" s="217">
        <v>218.42</v>
      </c>
      <c r="G81" s="287">
        <f t="shared" si="3"/>
        <v>24.026199999999999</v>
      </c>
      <c r="H81" s="217">
        <f>+F81*0.01</f>
        <v>2.1842000000000001</v>
      </c>
      <c r="I81" s="217">
        <v>0</v>
      </c>
      <c r="J81" s="217">
        <f>(0*1000/1000000)</f>
        <v>0</v>
      </c>
      <c r="K81" s="217">
        <f>+F81*(10/100)</f>
        <v>21.841999999999999</v>
      </c>
      <c r="L81" s="284">
        <v>0</v>
      </c>
      <c r="M81" s="217">
        <v>0</v>
      </c>
      <c r="N81" s="217">
        <f t="shared" si="0"/>
        <v>24.026199999999999</v>
      </c>
      <c r="O81" s="217">
        <f t="shared" si="1"/>
        <v>0</v>
      </c>
      <c r="P81" s="217">
        <f t="shared" si="2"/>
        <v>24.026199999999999</v>
      </c>
      <c r="Q81" s="217" t="s">
        <v>1123</v>
      </c>
      <c r="R81" s="216" t="s">
        <v>169</v>
      </c>
      <c r="S81" s="215" t="s">
        <v>282</v>
      </c>
      <c r="T81" s="215" t="s">
        <v>283</v>
      </c>
    </row>
    <row r="82" spans="1:20" ht="72.75" customHeight="1" x14ac:dyDescent="0.2">
      <c r="A82" s="333"/>
      <c r="B82" s="333"/>
      <c r="C82" s="333"/>
      <c r="D82" s="216" t="s">
        <v>22</v>
      </c>
      <c r="E82" s="283">
        <v>41</v>
      </c>
      <c r="F82" s="217">
        <v>179.48</v>
      </c>
      <c r="G82" s="287">
        <f>H82+K82</f>
        <v>22.434999999999999</v>
      </c>
      <c r="H82" s="217">
        <f>+F82*0.02</f>
        <v>3.5895999999999999</v>
      </c>
      <c r="I82" s="217">
        <v>0</v>
      </c>
      <c r="J82" s="217">
        <f t="shared" ref="J82:J168" si="7">(0*1000/1000000)</f>
        <v>0</v>
      </c>
      <c r="K82" s="217">
        <f>+F82*(10.5/100)</f>
        <v>18.845399999999998</v>
      </c>
      <c r="L82" s="284">
        <v>0</v>
      </c>
      <c r="M82" s="217">
        <f t="shared" ref="M82:M151" si="8">(0*1000/1000000)</f>
        <v>0</v>
      </c>
      <c r="N82" s="217">
        <f>+H82+K82</f>
        <v>22.434999999999999</v>
      </c>
      <c r="O82" s="217">
        <f>+((I82+J82)+(L82+M82))</f>
        <v>0</v>
      </c>
      <c r="P82" s="217">
        <f>+N82-O82</f>
        <v>22.434999999999999</v>
      </c>
      <c r="Q82" s="217" t="s">
        <v>1160</v>
      </c>
      <c r="R82" s="216" t="s">
        <v>237</v>
      </c>
      <c r="S82" s="215" t="s">
        <v>282</v>
      </c>
      <c r="T82" s="215" t="s">
        <v>283</v>
      </c>
    </row>
    <row r="83" spans="1:20" ht="72.75" customHeight="1" x14ac:dyDescent="0.2">
      <c r="A83" s="333"/>
      <c r="B83" s="333"/>
      <c r="C83" s="333"/>
      <c r="D83" s="216" t="s">
        <v>24</v>
      </c>
      <c r="E83" s="283">
        <v>41</v>
      </c>
      <c r="F83" s="217">
        <v>157.07400000000001</v>
      </c>
      <c r="G83" s="287">
        <f>H83+K83</f>
        <v>21.597675000000002</v>
      </c>
      <c r="H83" s="217">
        <f>+F83*0.0275</f>
        <v>4.3195350000000001</v>
      </c>
      <c r="I83" s="217">
        <v>0</v>
      </c>
      <c r="J83" s="217">
        <f t="shared" si="7"/>
        <v>0</v>
      </c>
      <c r="K83" s="217">
        <f>+F83*(11/100)</f>
        <v>17.27814</v>
      </c>
      <c r="L83" s="284">
        <v>0</v>
      </c>
      <c r="M83" s="217">
        <f t="shared" si="8"/>
        <v>0</v>
      </c>
      <c r="N83" s="217">
        <f>+H83+K83</f>
        <v>21.597675000000002</v>
      </c>
      <c r="O83" s="217">
        <f>+((I83+J83)+(L83+M83))</f>
        <v>0</v>
      </c>
      <c r="P83" s="217">
        <f>+N83-O83</f>
        <v>21.597675000000002</v>
      </c>
      <c r="Q83" s="289" t="s">
        <v>1210</v>
      </c>
      <c r="R83" s="289" t="s">
        <v>238</v>
      </c>
      <c r="S83" s="215" t="s">
        <v>188</v>
      </c>
      <c r="T83" s="215"/>
    </row>
    <row r="84" spans="1:20" ht="72.75" customHeight="1" x14ac:dyDescent="0.2">
      <c r="A84" s="333"/>
      <c r="B84" s="333"/>
      <c r="C84" s="333"/>
      <c r="D84" s="216" t="s">
        <v>27</v>
      </c>
      <c r="E84" s="283">
        <v>41</v>
      </c>
      <c r="F84" s="217">
        <v>258.24599999999998</v>
      </c>
      <c r="G84" s="287"/>
      <c r="H84" s="217">
        <f>+F84*0.035</f>
        <v>9.0386100000000003</v>
      </c>
      <c r="I84" s="217">
        <v>0</v>
      </c>
      <c r="J84" s="217">
        <f t="shared" si="7"/>
        <v>0</v>
      </c>
      <c r="K84" s="217">
        <f>+F84*(11.5/100)</f>
        <v>29.69829</v>
      </c>
      <c r="L84" s="284">
        <v>0</v>
      </c>
      <c r="M84" s="217">
        <f t="shared" si="8"/>
        <v>0</v>
      </c>
      <c r="N84" s="217">
        <f>+H84+K84</f>
        <v>38.736899999999999</v>
      </c>
      <c r="O84" s="217">
        <f>+((I84+J84)+(L84+M84))</f>
        <v>0</v>
      </c>
      <c r="P84" s="217">
        <f>+N84-O84</f>
        <v>38.736899999999999</v>
      </c>
      <c r="Q84" s="289" t="s">
        <v>1159</v>
      </c>
      <c r="R84" s="289" t="s">
        <v>239</v>
      </c>
      <c r="S84" s="215" t="s">
        <v>188</v>
      </c>
      <c r="T84" s="215"/>
    </row>
    <row r="85" spans="1:20" ht="73.5" customHeight="1" x14ac:dyDescent="0.2">
      <c r="A85" s="335">
        <v>8</v>
      </c>
      <c r="B85" s="335" t="s">
        <v>208</v>
      </c>
      <c r="C85" s="216" t="s">
        <v>1298</v>
      </c>
      <c r="D85" s="216" t="s">
        <v>21</v>
      </c>
      <c r="E85" s="283">
        <v>40</v>
      </c>
      <c r="F85" s="217">
        <f>19444087/1000000</f>
        <v>19.444087</v>
      </c>
      <c r="G85" s="287">
        <f t="shared" si="3"/>
        <v>2.1388495700000001</v>
      </c>
      <c r="H85" s="217">
        <f>+F85*0.01</f>
        <v>0.19444086999999999</v>
      </c>
      <c r="I85" s="217">
        <v>0</v>
      </c>
      <c r="J85" s="217">
        <f>(0*1000/1000000)</f>
        <v>0</v>
      </c>
      <c r="K85" s="217">
        <f>+F85*(10/100)</f>
        <v>1.9444087000000001</v>
      </c>
      <c r="L85" s="284">
        <v>0</v>
      </c>
      <c r="M85" s="217">
        <v>0</v>
      </c>
      <c r="N85" s="217">
        <f t="shared" si="0"/>
        <v>2.1388495700000001</v>
      </c>
      <c r="O85" s="217">
        <f t="shared" si="1"/>
        <v>0</v>
      </c>
      <c r="P85" s="217">
        <f t="shared" si="2"/>
        <v>2.1388495700000001</v>
      </c>
      <c r="Q85" s="217" t="s">
        <v>1123</v>
      </c>
      <c r="R85" s="216" t="s">
        <v>209</v>
      </c>
      <c r="S85" s="215" t="s">
        <v>188</v>
      </c>
      <c r="T85" s="215"/>
    </row>
    <row r="86" spans="1:20" ht="73.5" customHeight="1" x14ac:dyDescent="0.2">
      <c r="A86" s="335"/>
      <c r="B86" s="335"/>
      <c r="C86" s="274" t="s">
        <v>1431</v>
      </c>
      <c r="D86" s="274" t="s">
        <v>21</v>
      </c>
      <c r="E86" s="344" t="s">
        <v>1423</v>
      </c>
      <c r="F86" s="344"/>
      <c r="G86" s="344"/>
      <c r="H86" s="344"/>
      <c r="I86" s="344"/>
      <c r="J86" s="344"/>
      <c r="K86" s="344"/>
      <c r="L86" s="344"/>
      <c r="M86" s="344"/>
      <c r="N86" s="344"/>
      <c r="O86" s="344"/>
      <c r="P86" s="344"/>
      <c r="Q86" s="344"/>
      <c r="R86" s="344"/>
      <c r="S86" s="215"/>
      <c r="T86" s="215"/>
    </row>
    <row r="87" spans="1:20" ht="48" customHeight="1" x14ac:dyDescent="0.2">
      <c r="A87" s="333">
        <v>9</v>
      </c>
      <c r="B87" s="333" t="s">
        <v>210</v>
      </c>
      <c r="C87" s="333"/>
      <c r="D87" s="216" t="s">
        <v>21</v>
      </c>
      <c r="E87" s="283">
        <v>68.81</v>
      </c>
      <c r="F87" s="217">
        <v>602.77188000000001</v>
      </c>
      <c r="G87" s="287">
        <f t="shared" si="3"/>
        <v>66.304906799999998</v>
      </c>
      <c r="H87" s="217">
        <f>+F87*0.01</f>
        <v>6.0277188000000006</v>
      </c>
      <c r="I87" s="217">
        <v>0</v>
      </c>
      <c r="J87" s="217">
        <v>6.0279999999999996</v>
      </c>
      <c r="K87" s="217">
        <f>+F87*(10/100)</f>
        <v>60.277188000000002</v>
      </c>
      <c r="L87" s="284">
        <v>0</v>
      </c>
      <c r="M87" s="217">
        <f>(60278*1000/1000000)</f>
        <v>60.277999999999999</v>
      </c>
      <c r="N87" s="217">
        <f t="shared" si="0"/>
        <v>66.304906799999998</v>
      </c>
      <c r="O87" s="217">
        <f t="shared" si="1"/>
        <v>66.305999999999997</v>
      </c>
      <c r="P87" s="217">
        <f t="shared" si="2"/>
        <v>-1.0931999999996833E-3</v>
      </c>
      <c r="Q87" s="217" t="s">
        <v>1137</v>
      </c>
      <c r="R87" s="216" t="s">
        <v>211</v>
      </c>
      <c r="S87" s="215" t="s">
        <v>282</v>
      </c>
      <c r="T87" s="215" t="s">
        <v>310</v>
      </c>
    </row>
    <row r="88" spans="1:20" s="99" customFormat="1" ht="51" customHeight="1" x14ac:dyDescent="0.4">
      <c r="A88" s="333"/>
      <c r="B88" s="333"/>
      <c r="C88" s="333"/>
      <c r="D88" s="216" t="s">
        <v>22</v>
      </c>
      <c r="E88" s="283">
        <v>73.69</v>
      </c>
      <c r="F88" s="217">
        <v>664.68611999999996</v>
      </c>
      <c r="G88" s="287">
        <f t="shared" si="3"/>
        <v>83.085764999999981</v>
      </c>
      <c r="H88" s="217">
        <f>+F88*0.02</f>
        <v>13.2937224</v>
      </c>
      <c r="I88" s="217">
        <v>0</v>
      </c>
      <c r="J88" s="217">
        <f>((19322-6028)*1000/1000000)</f>
        <v>13.294</v>
      </c>
      <c r="K88" s="217">
        <f>+F88*(10.5/100)</f>
        <v>69.792042599999988</v>
      </c>
      <c r="L88" s="284">
        <v>0</v>
      </c>
      <c r="M88" s="217">
        <f>((64185+5612)*1000/1000000)</f>
        <v>69.796999999999997</v>
      </c>
      <c r="N88" s="217">
        <f t="shared" si="0"/>
        <v>83.085764999999981</v>
      </c>
      <c r="O88" s="217">
        <f t="shared" si="1"/>
        <v>83.090999999999994</v>
      </c>
      <c r="P88" s="217">
        <f t="shared" si="2"/>
        <v>-5.2350000000132013E-3</v>
      </c>
      <c r="Q88" s="217" t="s">
        <v>1147</v>
      </c>
      <c r="R88" s="216" t="s">
        <v>1148</v>
      </c>
      <c r="S88" s="218" t="s">
        <v>282</v>
      </c>
      <c r="T88" s="218" t="s">
        <v>310</v>
      </c>
    </row>
    <row r="89" spans="1:20" s="99" customFormat="1" ht="72.75" customHeight="1" x14ac:dyDescent="0.4">
      <c r="A89" s="333"/>
      <c r="B89" s="333"/>
      <c r="C89" s="333"/>
      <c r="D89" s="216" t="s">
        <v>24</v>
      </c>
      <c r="E89" s="283">
        <v>73.69</v>
      </c>
      <c r="F89" s="217">
        <v>659.99829999999997</v>
      </c>
      <c r="G89" s="287">
        <f>F89*9%</f>
        <v>59.399846999999994</v>
      </c>
      <c r="H89" s="217"/>
      <c r="I89" s="217">
        <v>0</v>
      </c>
      <c r="J89" s="217">
        <f t="shared" ref="J89:J98" si="9">(0*1000/1000000)</f>
        <v>0</v>
      </c>
      <c r="K89" s="217"/>
      <c r="L89" s="284">
        <v>0</v>
      </c>
      <c r="M89" s="217">
        <f>(59400*1000/1000000)</f>
        <v>59.4</v>
      </c>
      <c r="N89" s="217">
        <f>G89</f>
        <v>59.399846999999994</v>
      </c>
      <c r="O89" s="217">
        <f t="shared" si="1"/>
        <v>59.4</v>
      </c>
      <c r="P89" s="217">
        <f t="shared" si="2"/>
        <v>-1.5300000000451064E-4</v>
      </c>
      <c r="Q89" s="289" t="s">
        <v>1194</v>
      </c>
      <c r="R89" s="289" t="s">
        <v>1195</v>
      </c>
      <c r="S89" s="218" t="s">
        <v>282</v>
      </c>
      <c r="T89" s="218" t="s">
        <v>310</v>
      </c>
    </row>
    <row r="90" spans="1:20" ht="72.75" customHeight="1" x14ac:dyDescent="0.2">
      <c r="A90" s="333"/>
      <c r="B90" s="333"/>
      <c r="C90" s="333"/>
      <c r="D90" s="216" t="s">
        <v>27</v>
      </c>
      <c r="E90" s="283">
        <v>73.69</v>
      </c>
      <c r="F90" s="217">
        <v>646.25079000000005</v>
      </c>
      <c r="G90" s="287">
        <f>F90*9%</f>
        <v>58.162571100000001</v>
      </c>
      <c r="H90" s="217"/>
      <c r="I90" s="217">
        <v>0</v>
      </c>
      <c r="J90" s="217">
        <f t="shared" si="9"/>
        <v>0</v>
      </c>
      <c r="K90" s="217"/>
      <c r="L90" s="284">
        <v>0</v>
      </c>
      <c r="M90" s="304">
        <f>((48105+10058)*1000/1000000)</f>
        <v>58.162999999999997</v>
      </c>
      <c r="N90" s="217">
        <f>G90</f>
        <v>58.162571100000001</v>
      </c>
      <c r="O90" s="217">
        <f t="shared" si="1"/>
        <v>58.162999999999997</v>
      </c>
      <c r="P90" s="217">
        <f t="shared" si="2"/>
        <v>-4.2889999999573547E-4</v>
      </c>
      <c r="Q90" s="289" t="s">
        <v>1235</v>
      </c>
      <c r="R90" s="297" t="s">
        <v>1236</v>
      </c>
      <c r="S90" s="215" t="s">
        <v>282</v>
      </c>
      <c r="T90" s="215" t="s">
        <v>310</v>
      </c>
    </row>
    <row r="91" spans="1:20" ht="72.75" customHeight="1" x14ac:dyDescent="0.2">
      <c r="A91" s="333">
        <v>10</v>
      </c>
      <c r="B91" s="334" t="s">
        <v>257</v>
      </c>
      <c r="C91" s="216" t="s">
        <v>1298</v>
      </c>
      <c r="D91" s="216" t="s">
        <v>22</v>
      </c>
      <c r="E91" s="283">
        <v>36.56</v>
      </c>
      <c r="F91" s="217">
        <v>160.33000000000001</v>
      </c>
      <c r="G91" s="287">
        <f t="shared" si="3"/>
        <v>20.041250000000002</v>
      </c>
      <c r="H91" s="217">
        <f>+F91*0.02</f>
        <v>3.2066000000000003</v>
      </c>
      <c r="I91" s="217">
        <v>0</v>
      </c>
      <c r="J91" s="217">
        <f t="shared" si="9"/>
        <v>0</v>
      </c>
      <c r="K91" s="217">
        <f>+F91*(10.5/100)</f>
        <v>16.83465</v>
      </c>
      <c r="L91" s="284">
        <v>0</v>
      </c>
      <c r="M91" s="217">
        <f>(0*1000/1000000)</f>
        <v>0</v>
      </c>
      <c r="N91" s="217">
        <f t="shared" si="0"/>
        <v>20.041250000000002</v>
      </c>
      <c r="O91" s="217">
        <f t="shared" si="1"/>
        <v>0</v>
      </c>
      <c r="P91" s="217">
        <f t="shared" si="2"/>
        <v>20.041250000000002</v>
      </c>
      <c r="Q91" s="217" t="s">
        <v>201</v>
      </c>
      <c r="R91" s="216" t="s">
        <v>187</v>
      </c>
      <c r="S91" s="215" t="s">
        <v>188</v>
      </c>
      <c r="T91" s="215"/>
    </row>
    <row r="92" spans="1:20" ht="72.75" customHeight="1" x14ac:dyDescent="0.2">
      <c r="A92" s="333"/>
      <c r="B92" s="334"/>
      <c r="C92" s="334" t="s">
        <v>1430</v>
      </c>
      <c r="D92" s="216" t="s">
        <v>21</v>
      </c>
      <c r="E92" s="283">
        <v>36.56</v>
      </c>
      <c r="F92" s="217">
        <f>83275333/1000000</f>
        <v>83.275333000000003</v>
      </c>
      <c r="G92" s="287">
        <f t="shared" si="3"/>
        <v>9.1602866300000017</v>
      </c>
      <c r="H92" s="217">
        <f>+F92*0.01</f>
        <v>0.83275333000000007</v>
      </c>
      <c r="I92" s="217">
        <v>0</v>
      </c>
      <c r="J92" s="217">
        <f t="shared" si="9"/>
        <v>0</v>
      </c>
      <c r="K92" s="217">
        <f>+F92*(10/100)</f>
        <v>8.3275333000000007</v>
      </c>
      <c r="L92" s="284">
        <v>0</v>
      </c>
      <c r="M92" s="217">
        <v>0</v>
      </c>
      <c r="N92" s="217">
        <f t="shared" si="0"/>
        <v>9.1602866300000017</v>
      </c>
      <c r="O92" s="217">
        <f t="shared" si="1"/>
        <v>0</v>
      </c>
      <c r="P92" s="217">
        <f t="shared" si="2"/>
        <v>9.1602866300000017</v>
      </c>
      <c r="Q92" s="217" t="s">
        <v>1123</v>
      </c>
      <c r="R92" s="216" t="s">
        <v>209</v>
      </c>
      <c r="S92" s="215" t="s">
        <v>188</v>
      </c>
      <c r="T92" s="215"/>
    </row>
    <row r="93" spans="1:20" ht="54.75" customHeight="1" x14ac:dyDescent="0.2">
      <c r="A93" s="333"/>
      <c r="B93" s="334"/>
      <c r="C93" s="334"/>
      <c r="D93" s="223" t="s">
        <v>24</v>
      </c>
      <c r="E93" s="223">
        <v>36.56</v>
      </c>
      <c r="F93" s="271">
        <v>70.06</v>
      </c>
      <c r="G93" s="287">
        <f>F93*9%</f>
        <v>6.3053999999999997</v>
      </c>
      <c r="H93" s="217"/>
      <c r="I93" s="271">
        <v>0</v>
      </c>
      <c r="J93" s="271">
        <f t="shared" ref="J93:J209" si="10">(0*1000/1000000)</f>
        <v>0</v>
      </c>
      <c r="K93" s="217"/>
      <c r="L93" s="296">
        <v>0</v>
      </c>
      <c r="M93" s="271">
        <f>(0*1000/1000000)</f>
        <v>0</v>
      </c>
      <c r="N93" s="217">
        <f>G93</f>
        <v>6.3053999999999997</v>
      </c>
      <c r="O93" s="271">
        <f>+((I93+J93)+(L93+M93))</f>
        <v>0</v>
      </c>
      <c r="P93" s="271">
        <f>+N93-O93</f>
        <v>6.3053999999999997</v>
      </c>
      <c r="Q93" s="297" t="s">
        <v>258</v>
      </c>
      <c r="R93" s="297" t="s">
        <v>259</v>
      </c>
      <c r="S93" s="215" t="s">
        <v>282</v>
      </c>
      <c r="T93" s="215" t="s">
        <v>283</v>
      </c>
    </row>
    <row r="94" spans="1:20" ht="54.75" customHeight="1" x14ac:dyDescent="0.2">
      <c r="A94" s="333"/>
      <c r="B94" s="334"/>
      <c r="C94" s="334"/>
      <c r="D94" s="216" t="s">
        <v>27</v>
      </c>
      <c r="E94" s="216">
        <v>36.56</v>
      </c>
      <c r="F94" s="217">
        <v>62.82</v>
      </c>
      <c r="G94" s="287">
        <f>F94*9%</f>
        <v>5.6537999999999995</v>
      </c>
      <c r="H94" s="217"/>
      <c r="I94" s="271">
        <v>0</v>
      </c>
      <c r="J94" s="271">
        <f t="shared" si="10"/>
        <v>0</v>
      </c>
      <c r="K94" s="217"/>
      <c r="L94" s="296">
        <v>0</v>
      </c>
      <c r="M94" s="271">
        <f>(0*1000/1000000)</f>
        <v>0</v>
      </c>
      <c r="N94" s="217">
        <f>G94</f>
        <v>5.6537999999999995</v>
      </c>
      <c r="O94" s="217">
        <f>+((I94+J94)+(L94+M94))</f>
        <v>0</v>
      </c>
      <c r="P94" s="217">
        <f>+N94-O94</f>
        <v>5.6537999999999995</v>
      </c>
      <c r="Q94" s="289" t="s">
        <v>1221</v>
      </c>
      <c r="R94" s="289" t="s">
        <v>1220</v>
      </c>
      <c r="S94" s="215" t="s">
        <v>282</v>
      </c>
      <c r="T94" s="215" t="s">
        <v>283</v>
      </c>
    </row>
    <row r="95" spans="1:20" s="286" customFormat="1" ht="72.75" customHeight="1" x14ac:dyDescent="0.2">
      <c r="A95" s="335">
        <v>11</v>
      </c>
      <c r="B95" s="337" t="s">
        <v>212</v>
      </c>
      <c r="C95" s="334" t="s">
        <v>1298</v>
      </c>
      <c r="D95" s="216" t="s">
        <v>21</v>
      </c>
      <c r="E95" s="283">
        <v>27.5</v>
      </c>
      <c r="F95" s="217">
        <v>119.75</v>
      </c>
      <c r="G95" s="287">
        <f>H95+K95</f>
        <v>13.172500000000001</v>
      </c>
      <c r="H95" s="217">
        <f>+F95*0.01</f>
        <v>1.1975</v>
      </c>
      <c r="I95" s="217">
        <v>0</v>
      </c>
      <c r="J95" s="217">
        <f t="shared" si="9"/>
        <v>0</v>
      </c>
      <c r="K95" s="217">
        <f>+F95*(10/100)</f>
        <v>11.975000000000001</v>
      </c>
      <c r="L95" s="284">
        <v>110.23</v>
      </c>
      <c r="M95" s="217">
        <v>0</v>
      </c>
      <c r="N95" s="217">
        <f>+H95+K95</f>
        <v>13.172500000000001</v>
      </c>
      <c r="O95" s="217">
        <f>+((I95+J95)+(L95+M95))</f>
        <v>110.23</v>
      </c>
      <c r="P95" s="217">
        <f>+N95-O95</f>
        <v>-97.057500000000005</v>
      </c>
      <c r="Q95" s="217" t="s">
        <v>1123</v>
      </c>
      <c r="R95" s="216" t="s">
        <v>213</v>
      </c>
      <c r="S95" s="285" t="s">
        <v>282</v>
      </c>
      <c r="T95" s="285" t="s">
        <v>310</v>
      </c>
    </row>
    <row r="96" spans="1:20" s="286" customFormat="1" ht="72.75" customHeight="1" x14ac:dyDescent="0.2">
      <c r="A96" s="335"/>
      <c r="B96" s="337"/>
      <c r="C96" s="334"/>
      <c r="D96" s="216" t="s">
        <v>22</v>
      </c>
      <c r="E96" s="216">
        <v>67.5</v>
      </c>
      <c r="F96" s="216">
        <v>171.68</v>
      </c>
      <c r="G96" s="287">
        <f>H96+K96</f>
        <v>21.46</v>
      </c>
      <c r="H96" s="217">
        <f>+F96*0.02</f>
        <v>3.4336000000000002</v>
      </c>
      <c r="I96" s="217">
        <v>0</v>
      </c>
      <c r="J96" s="217">
        <v>0</v>
      </c>
      <c r="K96" s="217">
        <f>+F96*(10.5/100)</f>
        <v>18.026399999999999</v>
      </c>
      <c r="L96" s="296">
        <v>200.87</v>
      </c>
      <c r="M96" s="217">
        <v>0</v>
      </c>
      <c r="N96" s="217">
        <f>+H96+K96</f>
        <v>21.46</v>
      </c>
      <c r="O96" s="217">
        <f>+((I96+J96)+(L96+M96))</f>
        <v>200.87</v>
      </c>
      <c r="P96" s="217">
        <f>+N96-O96</f>
        <v>-179.41</v>
      </c>
      <c r="Q96" s="217" t="s">
        <v>1154</v>
      </c>
      <c r="R96" s="216" t="s">
        <v>1155</v>
      </c>
      <c r="S96" s="285" t="s">
        <v>282</v>
      </c>
      <c r="T96" s="285" t="s">
        <v>310</v>
      </c>
    </row>
    <row r="97" spans="1:20" s="286" customFormat="1" ht="72.75" customHeight="1" x14ac:dyDescent="0.2">
      <c r="A97" s="335"/>
      <c r="B97" s="337"/>
      <c r="C97" s="334"/>
      <c r="D97" s="223" t="s">
        <v>24</v>
      </c>
      <c r="E97" s="223">
        <v>67.5</v>
      </c>
      <c r="F97" s="305">
        <v>150.55000000000001</v>
      </c>
      <c r="G97" s="287">
        <f>F97*9%</f>
        <v>13.5495</v>
      </c>
      <c r="H97" s="217"/>
      <c r="I97" s="271">
        <v>0</v>
      </c>
      <c r="J97" s="271">
        <f t="shared" si="9"/>
        <v>0</v>
      </c>
      <c r="K97" s="217"/>
      <c r="L97" s="296">
        <v>231.9</v>
      </c>
      <c r="M97" s="271">
        <v>0</v>
      </c>
      <c r="N97" s="217">
        <f>G97</f>
        <v>13.5495</v>
      </c>
      <c r="O97" s="271">
        <f t="shared" si="1"/>
        <v>231.9</v>
      </c>
      <c r="P97" s="271">
        <f t="shared" si="2"/>
        <v>-218.35050000000001</v>
      </c>
      <c r="Q97" s="297" t="s">
        <v>1172</v>
      </c>
      <c r="R97" s="297" t="s">
        <v>1173</v>
      </c>
      <c r="S97" s="285" t="s">
        <v>282</v>
      </c>
      <c r="T97" s="285" t="s">
        <v>310</v>
      </c>
    </row>
    <row r="98" spans="1:20" s="286" customFormat="1" ht="72.75" customHeight="1" x14ac:dyDescent="0.2">
      <c r="A98" s="335"/>
      <c r="B98" s="337"/>
      <c r="C98" s="334"/>
      <c r="D98" s="223" t="s">
        <v>27</v>
      </c>
      <c r="E98" s="223">
        <v>67.5</v>
      </c>
      <c r="F98" s="271">
        <v>142.96</v>
      </c>
      <c r="G98" s="287">
        <f>F98*9%</f>
        <v>12.866400000000001</v>
      </c>
      <c r="H98" s="217"/>
      <c r="I98" s="271">
        <v>0</v>
      </c>
      <c r="J98" s="271">
        <f t="shared" si="9"/>
        <v>0</v>
      </c>
      <c r="K98" s="217"/>
      <c r="L98" s="306">
        <v>226.53100000000001</v>
      </c>
      <c r="M98" s="271">
        <v>0</v>
      </c>
      <c r="N98" s="217">
        <f>G98</f>
        <v>12.866400000000001</v>
      </c>
      <c r="O98" s="234">
        <f t="shared" si="1"/>
        <v>226.53100000000001</v>
      </c>
      <c r="P98" s="234">
        <f t="shared" si="2"/>
        <v>-213.66460000000001</v>
      </c>
      <c r="Q98" s="297" t="s">
        <v>1213</v>
      </c>
      <c r="R98" s="297" t="s">
        <v>1214</v>
      </c>
      <c r="S98" s="285" t="s">
        <v>282</v>
      </c>
      <c r="T98" s="285" t="s">
        <v>310</v>
      </c>
    </row>
    <row r="99" spans="1:20" s="286" customFormat="1" ht="72.75" customHeight="1" x14ac:dyDescent="0.2">
      <c r="A99" s="335"/>
      <c r="B99" s="337"/>
      <c r="C99" s="339" t="s">
        <v>1429</v>
      </c>
      <c r="D99" s="274" t="s">
        <v>21</v>
      </c>
      <c r="E99" s="275">
        <v>67.5</v>
      </c>
      <c r="F99" s="299">
        <v>119.75</v>
      </c>
      <c r="G99" s="300">
        <v>10.778</v>
      </c>
      <c r="H99" s="299"/>
      <c r="I99" s="299">
        <v>0</v>
      </c>
      <c r="J99" s="299">
        <v>0</v>
      </c>
      <c r="K99" s="299"/>
      <c r="L99" s="301">
        <v>110.23</v>
      </c>
      <c r="M99" s="299">
        <v>0</v>
      </c>
      <c r="N99" s="300">
        <v>10.778</v>
      </c>
      <c r="O99" s="301">
        <v>110.23</v>
      </c>
      <c r="P99" s="307">
        <f t="shared" si="2"/>
        <v>-99.451999999999998</v>
      </c>
      <c r="Q99" s="308"/>
      <c r="R99" s="309"/>
      <c r="S99" s="285"/>
      <c r="T99" s="285"/>
    </row>
    <row r="100" spans="1:20" s="286" customFormat="1" ht="72.75" customHeight="1" x14ac:dyDescent="0.2">
      <c r="A100" s="335"/>
      <c r="B100" s="337"/>
      <c r="C100" s="339"/>
      <c r="D100" s="274" t="s">
        <v>22</v>
      </c>
      <c r="E100" s="275">
        <v>67.5</v>
      </c>
      <c r="F100" s="274">
        <v>171.68</v>
      </c>
      <c r="G100" s="300">
        <v>15.451000000000001</v>
      </c>
      <c r="H100" s="299"/>
      <c r="I100" s="299">
        <v>0</v>
      </c>
      <c r="J100" s="299">
        <v>0</v>
      </c>
      <c r="K100" s="299"/>
      <c r="L100" s="310">
        <v>200.87</v>
      </c>
      <c r="M100" s="299">
        <v>0</v>
      </c>
      <c r="N100" s="300">
        <v>15.45</v>
      </c>
      <c r="O100" s="310">
        <v>200.87</v>
      </c>
      <c r="P100" s="307">
        <f t="shared" si="2"/>
        <v>-185.42000000000002</v>
      </c>
      <c r="Q100" s="308"/>
      <c r="R100" s="309"/>
      <c r="S100" s="285"/>
      <c r="T100" s="285"/>
    </row>
    <row r="101" spans="1:20" s="286" customFormat="1" ht="72.75" customHeight="1" x14ac:dyDescent="0.2">
      <c r="A101" s="335"/>
      <c r="B101" s="337"/>
      <c r="C101" s="339"/>
      <c r="D101" s="275" t="s">
        <v>24</v>
      </c>
      <c r="E101" s="275">
        <v>67.5</v>
      </c>
      <c r="F101" s="311">
        <v>150.55000000000001</v>
      </c>
      <c r="G101" s="300">
        <v>13.55</v>
      </c>
      <c r="H101" s="299"/>
      <c r="I101" s="299">
        <v>0</v>
      </c>
      <c r="J101" s="299">
        <v>0</v>
      </c>
      <c r="K101" s="299"/>
      <c r="L101" s="310">
        <v>231.9</v>
      </c>
      <c r="M101" s="312">
        <v>0</v>
      </c>
      <c r="N101" s="300">
        <v>13.55</v>
      </c>
      <c r="O101" s="310">
        <v>231.9</v>
      </c>
      <c r="P101" s="307">
        <f t="shared" si="2"/>
        <v>-218.35</v>
      </c>
      <c r="Q101" s="308"/>
      <c r="R101" s="309"/>
      <c r="S101" s="285"/>
      <c r="T101" s="285"/>
    </row>
    <row r="102" spans="1:20" s="286" customFormat="1" ht="72.75" customHeight="1" x14ac:dyDescent="0.2">
      <c r="A102" s="335"/>
      <c r="B102" s="337"/>
      <c r="C102" s="339"/>
      <c r="D102" s="275" t="s">
        <v>27</v>
      </c>
      <c r="E102" s="275">
        <v>67.5</v>
      </c>
      <c r="F102" s="312">
        <v>142.96</v>
      </c>
      <c r="G102" s="300">
        <v>12.866</v>
      </c>
      <c r="H102" s="299"/>
      <c r="I102" s="299">
        <v>0</v>
      </c>
      <c r="J102" s="299">
        <v>0</v>
      </c>
      <c r="K102" s="299"/>
      <c r="L102" s="313">
        <v>226.53100000000001</v>
      </c>
      <c r="M102" s="312">
        <v>0</v>
      </c>
      <c r="N102" s="300">
        <v>12.87</v>
      </c>
      <c r="O102" s="313">
        <v>226.53100000000001</v>
      </c>
      <c r="P102" s="307">
        <f t="shared" si="2"/>
        <v>-213.661</v>
      </c>
      <c r="Q102" s="308"/>
      <c r="R102" s="309"/>
      <c r="S102" s="285"/>
      <c r="T102" s="285"/>
    </row>
    <row r="103" spans="1:20" ht="72.75" customHeight="1" x14ac:dyDescent="0.2">
      <c r="A103" s="333">
        <v>12</v>
      </c>
      <c r="B103" s="333" t="s">
        <v>214</v>
      </c>
      <c r="C103" s="333" t="s">
        <v>1298</v>
      </c>
      <c r="D103" s="216" t="s">
        <v>21</v>
      </c>
      <c r="E103" s="216">
        <v>60</v>
      </c>
      <c r="F103" s="216">
        <v>100.16</v>
      </c>
      <c r="G103" s="287">
        <f t="shared" si="3"/>
        <v>11.0176</v>
      </c>
      <c r="H103" s="217">
        <f>+F103*0.01</f>
        <v>1.0016</v>
      </c>
      <c r="I103" s="217">
        <v>0</v>
      </c>
      <c r="J103" s="217">
        <f t="shared" ref="J103:J144" si="11">(0*1000/1000000)</f>
        <v>0</v>
      </c>
      <c r="K103" s="217">
        <f>+F103*(10/100)</f>
        <v>10.016</v>
      </c>
      <c r="L103" s="284">
        <v>0</v>
      </c>
      <c r="M103" s="217">
        <v>0</v>
      </c>
      <c r="N103" s="217">
        <f t="shared" si="0"/>
        <v>11.0176</v>
      </c>
      <c r="O103" s="217">
        <f t="shared" si="1"/>
        <v>0</v>
      </c>
      <c r="P103" s="217">
        <f t="shared" si="2"/>
        <v>11.0176</v>
      </c>
      <c r="Q103" s="217" t="s">
        <v>1123</v>
      </c>
      <c r="R103" s="216" t="s">
        <v>1143</v>
      </c>
      <c r="S103" s="215" t="s">
        <v>282</v>
      </c>
      <c r="T103" s="215" t="s">
        <v>283</v>
      </c>
    </row>
    <row r="104" spans="1:20" ht="72.75" customHeight="1" x14ac:dyDescent="0.2">
      <c r="A104" s="333"/>
      <c r="B104" s="333"/>
      <c r="C104" s="333"/>
      <c r="D104" s="216" t="s">
        <v>22</v>
      </c>
      <c r="E104" s="216">
        <v>60</v>
      </c>
      <c r="F104" s="216">
        <v>139.78</v>
      </c>
      <c r="G104" s="287">
        <f t="shared" si="3"/>
        <v>17.4725</v>
      </c>
      <c r="H104" s="217">
        <f>+F104*0.02</f>
        <v>2.7955999999999999</v>
      </c>
      <c r="I104" s="217">
        <v>0</v>
      </c>
      <c r="J104" s="217">
        <f t="shared" si="11"/>
        <v>0</v>
      </c>
      <c r="K104" s="217">
        <f>+F104*(10.5/100)</f>
        <v>14.6769</v>
      </c>
      <c r="L104" s="284">
        <v>0</v>
      </c>
      <c r="M104" s="217">
        <v>0</v>
      </c>
      <c r="N104" s="217">
        <f t="shared" si="0"/>
        <v>17.4725</v>
      </c>
      <c r="O104" s="217">
        <f t="shared" si="1"/>
        <v>0</v>
      </c>
      <c r="P104" s="217">
        <f t="shared" si="2"/>
        <v>17.4725</v>
      </c>
      <c r="Q104" s="217" t="s">
        <v>1152</v>
      </c>
      <c r="R104" s="216" t="s">
        <v>1153</v>
      </c>
      <c r="S104" s="215" t="s">
        <v>282</v>
      </c>
      <c r="T104" s="215" t="s">
        <v>283</v>
      </c>
    </row>
    <row r="105" spans="1:20" ht="72.75" customHeight="1" x14ac:dyDescent="0.2">
      <c r="A105" s="333"/>
      <c r="B105" s="333"/>
      <c r="C105" s="333"/>
      <c r="D105" s="216" t="s">
        <v>24</v>
      </c>
      <c r="E105" s="216">
        <v>60</v>
      </c>
      <c r="F105" s="216">
        <v>208.63</v>
      </c>
      <c r="G105" s="287">
        <f>F105*9%</f>
        <v>18.776699999999998</v>
      </c>
      <c r="H105" s="217"/>
      <c r="I105" s="217">
        <v>0</v>
      </c>
      <c r="J105" s="217">
        <f t="shared" si="11"/>
        <v>0</v>
      </c>
      <c r="K105" s="217"/>
      <c r="L105" s="284">
        <v>0</v>
      </c>
      <c r="M105" s="217">
        <f>(0*1000/1000000)</f>
        <v>0</v>
      </c>
      <c r="N105" s="217">
        <f>G105</f>
        <v>18.776699999999998</v>
      </c>
      <c r="O105" s="217">
        <f t="shared" si="1"/>
        <v>0</v>
      </c>
      <c r="P105" s="217">
        <f t="shared" si="2"/>
        <v>18.776699999999998</v>
      </c>
      <c r="Q105" s="289" t="s">
        <v>1174</v>
      </c>
      <c r="R105" s="289" t="s">
        <v>1175</v>
      </c>
      <c r="S105" s="215" t="s">
        <v>282</v>
      </c>
      <c r="T105" s="215" t="s">
        <v>283</v>
      </c>
    </row>
    <row r="106" spans="1:20" ht="72.75" customHeight="1" x14ac:dyDescent="0.2">
      <c r="A106" s="333"/>
      <c r="B106" s="333"/>
      <c r="C106" s="333"/>
      <c r="D106" s="223" t="s">
        <v>27</v>
      </c>
      <c r="E106" s="223">
        <v>60</v>
      </c>
      <c r="F106" s="223">
        <v>214.61</v>
      </c>
      <c r="G106" s="287">
        <f>F106*9%</f>
        <v>19.314900000000002</v>
      </c>
      <c r="H106" s="217"/>
      <c r="I106" s="217">
        <v>0</v>
      </c>
      <c r="J106" s="217">
        <f t="shared" si="11"/>
        <v>0</v>
      </c>
      <c r="K106" s="217"/>
      <c r="L106" s="284">
        <v>0</v>
      </c>
      <c r="M106" s="217">
        <f>(0*1000/1000000)</f>
        <v>0</v>
      </c>
      <c r="N106" s="217">
        <f>G106</f>
        <v>19.314900000000002</v>
      </c>
      <c r="O106" s="217">
        <f t="shared" si="1"/>
        <v>0</v>
      </c>
      <c r="P106" s="304">
        <f t="shared" si="2"/>
        <v>19.314900000000002</v>
      </c>
      <c r="Q106" s="297" t="s">
        <v>1215</v>
      </c>
      <c r="R106" s="297" t="s">
        <v>215</v>
      </c>
      <c r="S106" s="215" t="s">
        <v>282</v>
      </c>
      <c r="T106" s="215" t="s">
        <v>283</v>
      </c>
    </row>
    <row r="107" spans="1:20" ht="54.75" customHeight="1" x14ac:dyDescent="0.2">
      <c r="A107" s="333">
        <v>13</v>
      </c>
      <c r="B107" s="333" t="s">
        <v>216</v>
      </c>
      <c r="C107" s="333" t="s">
        <v>1298</v>
      </c>
      <c r="D107" s="216" t="s">
        <v>21</v>
      </c>
      <c r="E107" s="283">
        <v>24.75</v>
      </c>
      <c r="F107" s="217">
        <f>110029249/1000000</f>
        <v>110.02924899999999</v>
      </c>
      <c r="G107" s="287">
        <f>H107+K107</f>
        <v>12.103217389999999</v>
      </c>
      <c r="H107" s="217">
        <f>+F107*0.01</f>
        <v>1.10029249</v>
      </c>
      <c r="I107" s="217">
        <v>0</v>
      </c>
      <c r="J107" s="217">
        <f t="shared" si="10"/>
        <v>0</v>
      </c>
      <c r="K107" s="217">
        <f>+F107*(10/100)</f>
        <v>11.0029249</v>
      </c>
      <c r="L107" s="284">
        <v>0</v>
      </c>
      <c r="M107" s="217">
        <f>(5180*1000/1000000)</f>
        <v>5.18</v>
      </c>
      <c r="N107" s="217">
        <f>+H107+K107</f>
        <v>12.103217389999999</v>
      </c>
      <c r="O107" s="217">
        <f>+((I107+J107)+(L107+M107))</f>
        <v>5.18</v>
      </c>
      <c r="P107" s="217">
        <f>+N107-O107</f>
        <v>6.9232173899999996</v>
      </c>
      <c r="Q107" s="217" t="s">
        <v>1123</v>
      </c>
      <c r="R107" s="216" t="s">
        <v>252</v>
      </c>
      <c r="S107" s="215" t="s">
        <v>282</v>
      </c>
      <c r="T107" s="215" t="s">
        <v>283</v>
      </c>
    </row>
    <row r="108" spans="1:20" ht="54.75" customHeight="1" x14ac:dyDescent="0.2">
      <c r="A108" s="333"/>
      <c r="B108" s="333"/>
      <c r="C108" s="333"/>
      <c r="D108" s="216" t="s">
        <v>22</v>
      </c>
      <c r="E108" s="283">
        <v>24.75</v>
      </c>
      <c r="F108" s="217">
        <v>116.333</v>
      </c>
      <c r="G108" s="287">
        <f>H108+K108</f>
        <v>14.541625</v>
      </c>
      <c r="H108" s="217">
        <f>+F108*0.02</f>
        <v>2.32666</v>
      </c>
      <c r="I108" s="217">
        <v>0</v>
      </c>
      <c r="J108" s="217">
        <f t="shared" si="10"/>
        <v>0</v>
      </c>
      <c r="K108" s="217">
        <f>+F108*(10.5/100)</f>
        <v>12.214964999999999</v>
      </c>
      <c r="L108" s="284">
        <v>0</v>
      </c>
      <c r="M108" s="217">
        <f>(0*1000/1000000)</f>
        <v>0</v>
      </c>
      <c r="N108" s="217">
        <f>+H108+K108</f>
        <v>14.541625</v>
      </c>
      <c r="O108" s="217">
        <f>+((I108+J108)+(L108+M108))</f>
        <v>0</v>
      </c>
      <c r="P108" s="217">
        <f>+N108-O108</f>
        <v>14.541625</v>
      </c>
      <c r="Q108" s="217" t="s">
        <v>1160</v>
      </c>
      <c r="R108" s="216" t="s">
        <v>187</v>
      </c>
      <c r="S108" s="215" t="s">
        <v>188</v>
      </c>
      <c r="T108" s="215"/>
    </row>
    <row r="109" spans="1:20" ht="72.75" customHeight="1" x14ac:dyDescent="0.2">
      <c r="A109" s="333"/>
      <c r="B109" s="333"/>
      <c r="C109" s="333"/>
      <c r="D109" s="223" t="s">
        <v>24</v>
      </c>
      <c r="E109" s="288">
        <v>23</v>
      </c>
      <c r="F109" s="271">
        <v>61.171422</v>
      </c>
      <c r="G109" s="287">
        <f>F109*9%</f>
        <v>5.5054279799999994</v>
      </c>
      <c r="H109" s="217"/>
      <c r="I109" s="271">
        <v>0</v>
      </c>
      <c r="J109" s="271">
        <f t="shared" si="11"/>
        <v>0</v>
      </c>
      <c r="K109" s="217"/>
      <c r="L109" s="296">
        <v>0</v>
      </c>
      <c r="M109" s="271">
        <f>(0*1000/1000000)</f>
        <v>0</v>
      </c>
      <c r="N109" s="217">
        <f>G109</f>
        <v>5.5054279799999994</v>
      </c>
      <c r="O109" s="271">
        <f>+((I109+J109)+(L109+M109))</f>
        <v>0</v>
      </c>
      <c r="P109" s="271">
        <f>+N109-O109</f>
        <v>5.5054279799999994</v>
      </c>
      <c r="Q109" s="297" t="s">
        <v>1202</v>
      </c>
      <c r="R109" s="297" t="s">
        <v>1203</v>
      </c>
      <c r="S109" s="215" t="s">
        <v>282</v>
      </c>
      <c r="T109" s="215" t="s">
        <v>283</v>
      </c>
    </row>
    <row r="110" spans="1:20" ht="72.75" customHeight="1" x14ac:dyDescent="0.2">
      <c r="A110" s="333"/>
      <c r="B110" s="333"/>
      <c r="C110" s="333"/>
      <c r="D110" s="216" t="s">
        <v>27</v>
      </c>
      <c r="E110" s="283">
        <v>23</v>
      </c>
      <c r="F110" s="217">
        <v>43.927999999999997</v>
      </c>
      <c r="G110" s="287">
        <f>F110*9%</f>
        <v>3.9535199999999997</v>
      </c>
      <c r="H110" s="217"/>
      <c r="I110" s="217">
        <v>0</v>
      </c>
      <c r="J110" s="217">
        <f t="shared" si="11"/>
        <v>0</v>
      </c>
      <c r="K110" s="217"/>
      <c r="L110" s="284">
        <v>0</v>
      </c>
      <c r="M110" s="217">
        <f>(0*1000/1000000)</f>
        <v>0</v>
      </c>
      <c r="N110" s="217">
        <f>G110</f>
        <v>3.9535199999999997</v>
      </c>
      <c r="O110" s="217">
        <f t="shared" si="1"/>
        <v>0</v>
      </c>
      <c r="P110" s="217">
        <f t="shared" si="2"/>
        <v>3.9535199999999997</v>
      </c>
      <c r="Q110" s="289" t="s">
        <v>1243</v>
      </c>
      <c r="R110" s="297" t="s">
        <v>1244</v>
      </c>
      <c r="S110" s="215" t="s">
        <v>282</v>
      </c>
      <c r="T110" s="215" t="s">
        <v>283</v>
      </c>
    </row>
    <row r="111" spans="1:20" ht="72.75" customHeight="1" x14ac:dyDescent="0.2">
      <c r="A111" s="333">
        <v>14</v>
      </c>
      <c r="B111" s="333" t="s">
        <v>219</v>
      </c>
      <c r="C111" s="333" t="s">
        <v>1298</v>
      </c>
      <c r="D111" s="216" t="s">
        <v>21</v>
      </c>
      <c r="E111" s="283">
        <v>23.675999999999998</v>
      </c>
      <c r="F111" s="217">
        <v>53.303626999999999</v>
      </c>
      <c r="G111" s="287">
        <f t="shared" si="3"/>
        <v>5.8633989700000004</v>
      </c>
      <c r="H111" s="217">
        <f>+F111*0.01</f>
        <v>0.53303626999999998</v>
      </c>
      <c r="I111" s="217">
        <v>0</v>
      </c>
      <c r="J111" s="217">
        <f t="shared" si="11"/>
        <v>0</v>
      </c>
      <c r="K111" s="217">
        <f>+F111*(10/100)</f>
        <v>5.3303627000000002</v>
      </c>
      <c r="L111" s="284">
        <v>0</v>
      </c>
      <c r="M111" s="217">
        <v>0</v>
      </c>
      <c r="N111" s="217">
        <f t="shared" si="0"/>
        <v>5.8633989700000004</v>
      </c>
      <c r="O111" s="217">
        <f t="shared" si="1"/>
        <v>0</v>
      </c>
      <c r="P111" s="217">
        <f t="shared" si="2"/>
        <v>5.8633989700000004</v>
      </c>
      <c r="Q111" s="217" t="s">
        <v>1123</v>
      </c>
      <c r="R111" s="216" t="s">
        <v>217</v>
      </c>
      <c r="S111" s="215" t="s">
        <v>282</v>
      </c>
      <c r="T111" s="215" t="s">
        <v>283</v>
      </c>
    </row>
    <row r="112" spans="1:20" ht="72.75" customHeight="1" x14ac:dyDescent="0.2">
      <c r="A112" s="333"/>
      <c r="B112" s="333"/>
      <c r="C112" s="333"/>
      <c r="D112" s="216" t="s">
        <v>22</v>
      </c>
      <c r="E112" s="283">
        <v>23.675999999999998</v>
      </c>
      <c r="F112" s="217">
        <v>53.205336000000003</v>
      </c>
      <c r="G112" s="287">
        <f>H112+K112</f>
        <v>6.6506670000000003</v>
      </c>
      <c r="H112" s="217">
        <f>+F112*0.02</f>
        <v>1.0641067200000001</v>
      </c>
      <c r="I112" s="217">
        <v>0</v>
      </c>
      <c r="J112" s="217">
        <f t="shared" si="11"/>
        <v>0</v>
      </c>
      <c r="K112" s="217">
        <f>+F112*(10.5/100)</f>
        <v>5.5865602800000005</v>
      </c>
      <c r="L112" s="284">
        <v>0</v>
      </c>
      <c r="M112" s="217">
        <v>0</v>
      </c>
      <c r="N112" s="217">
        <f>+H112+K112</f>
        <v>6.6506670000000003</v>
      </c>
      <c r="O112" s="217">
        <f>+((I112+J112)+(L112+M112))</f>
        <v>0</v>
      </c>
      <c r="P112" s="217">
        <f>+N112-O112</f>
        <v>6.6506670000000003</v>
      </c>
      <c r="Q112" s="217" t="s">
        <v>1149</v>
      </c>
      <c r="R112" s="216" t="s">
        <v>1150</v>
      </c>
      <c r="S112" s="215" t="s">
        <v>282</v>
      </c>
      <c r="T112" s="215" t="s">
        <v>283</v>
      </c>
    </row>
    <row r="113" spans="1:20" ht="72.75" customHeight="1" x14ac:dyDescent="0.2">
      <c r="A113" s="333"/>
      <c r="B113" s="333"/>
      <c r="C113" s="333"/>
      <c r="D113" s="223" t="s">
        <v>24</v>
      </c>
      <c r="E113" s="288">
        <v>23.27</v>
      </c>
      <c r="F113" s="271">
        <v>53.812461999999996</v>
      </c>
      <c r="G113" s="287">
        <f>F113*9%</f>
        <v>4.8431215799999991</v>
      </c>
      <c r="H113" s="217"/>
      <c r="I113" s="271">
        <v>0</v>
      </c>
      <c r="J113" s="271">
        <f t="shared" si="11"/>
        <v>0</v>
      </c>
      <c r="K113" s="217"/>
      <c r="L113" s="296">
        <v>0</v>
      </c>
      <c r="M113" s="271">
        <v>0</v>
      </c>
      <c r="N113" s="217">
        <f>G113</f>
        <v>4.8431215799999991</v>
      </c>
      <c r="O113" s="271">
        <f t="shared" si="1"/>
        <v>0</v>
      </c>
      <c r="P113" s="271">
        <f t="shared" si="2"/>
        <v>4.8431215799999991</v>
      </c>
      <c r="Q113" s="297" t="s">
        <v>1180</v>
      </c>
      <c r="R113" s="297" t="s">
        <v>218</v>
      </c>
      <c r="S113" s="215" t="s">
        <v>282</v>
      </c>
      <c r="T113" s="215" t="s">
        <v>283</v>
      </c>
    </row>
    <row r="114" spans="1:20" ht="72.75" customHeight="1" x14ac:dyDescent="0.2">
      <c r="A114" s="333"/>
      <c r="B114" s="333"/>
      <c r="C114" s="333"/>
      <c r="D114" s="216" t="s">
        <v>27</v>
      </c>
      <c r="E114" s="283">
        <v>10.57</v>
      </c>
      <c r="F114" s="217">
        <v>43.24</v>
      </c>
      <c r="G114" s="287">
        <f>F114*9%</f>
        <v>3.8915999999999999</v>
      </c>
      <c r="H114" s="217"/>
      <c r="I114" s="271">
        <v>0</v>
      </c>
      <c r="J114" s="271">
        <f t="shared" si="11"/>
        <v>0</v>
      </c>
      <c r="K114" s="217"/>
      <c r="L114" s="296">
        <v>0</v>
      </c>
      <c r="M114" s="271">
        <f>(0*1000/1000000)</f>
        <v>0</v>
      </c>
      <c r="N114" s="217">
        <f>G114</f>
        <v>3.8915999999999999</v>
      </c>
      <c r="O114" s="271">
        <f t="shared" si="1"/>
        <v>0</v>
      </c>
      <c r="P114" s="271">
        <f t="shared" si="2"/>
        <v>3.8915999999999999</v>
      </c>
      <c r="Q114" s="289" t="s">
        <v>1157</v>
      </c>
      <c r="R114" s="289" t="s">
        <v>220</v>
      </c>
      <c r="S114" s="215" t="s">
        <v>188</v>
      </c>
      <c r="T114" s="215"/>
    </row>
    <row r="115" spans="1:20" s="286" customFormat="1" ht="72.75" customHeight="1" x14ac:dyDescent="0.2">
      <c r="A115" s="335">
        <v>15</v>
      </c>
      <c r="B115" s="335" t="s">
        <v>221</v>
      </c>
      <c r="C115" s="333" t="s">
        <v>1298</v>
      </c>
      <c r="D115" s="216" t="s">
        <v>21</v>
      </c>
      <c r="E115" s="283">
        <v>19.059999999999999</v>
      </c>
      <c r="F115" s="217">
        <f>94353260/1000000</f>
        <v>94.353260000000006</v>
      </c>
      <c r="G115" s="287">
        <f>H115+K115</f>
        <v>10.378858600000001</v>
      </c>
      <c r="H115" s="217">
        <f>+F115*0.01</f>
        <v>0.94353260000000005</v>
      </c>
      <c r="I115" s="217">
        <v>0</v>
      </c>
      <c r="J115" s="217">
        <f t="shared" si="11"/>
        <v>0</v>
      </c>
      <c r="K115" s="217">
        <f>+F115*(10/100)</f>
        <v>9.4353260000000017</v>
      </c>
      <c r="L115" s="284">
        <v>0</v>
      </c>
      <c r="M115" s="217">
        <v>0</v>
      </c>
      <c r="N115" s="217">
        <f>+H115+K115</f>
        <v>10.378858600000001</v>
      </c>
      <c r="O115" s="217">
        <f>+((I115+J115)+(L115+M115))</f>
        <v>0</v>
      </c>
      <c r="P115" s="217">
        <f>+N115-O115</f>
        <v>10.378858600000001</v>
      </c>
      <c r="Q115" s="217" t="s">
        <v>1123</v>
      </c>
      <c r="R115" s="216" t="s">
        <v>209</v>
      </c>
      <c r="S115" s="285" t="s">
        <v>188</v>
      </c>
      <c r="T115" s="285"/>
    </row>
    <row r="116" spans="1:20" s="286" customFormat="1" ht="72.75" customHeight="1" x14ac:dyDescent="0.2">
      <c r="A116" s="335"/>
      <c r="B116" s="335"/>
      <c r="C116" s="333"/>
      <c r="D116" s="216" t="s">
        <v>22</v>
      </c>
      <c r="E116" s="283">
        <v>19.059999999999999</v>
      </c>
      <c r="F116" s="217">
        <v>101.548</v>
      </c>
      <c r="G116" s="287">
        <f t="shared" si="3"/>
        <v>12.6935</v>
      </c>
      <c r="H116" s="217">
        <f>+F116*0.02</f>
        <v>2.0309599999999999</v>
      </c>
      <c r="I116" s="217">
        <v>0</v>
      </c>
      <c r="J116" s="217">
        <f t="shared" si="11"/>
        <v>0</v>
      </c>
      <c r="K116" s="217">
        <f>+F116*(10.5/100)</f>
        <v>10.66254</v>
      </c>
      <c r="L116" s="284">
        <v>0</v>
      </c>
      <c r="M116" s="217">
        <f>(0*1000/1000000)</f>
        <v>0</v>
      </c>
      <c r="N116" s="217">
        <f t="shared" si="0"/>
        <v>12.6935</v>
      </c>
      <c r="O116" s="217">
        <f t="shared" si="1"/>
        <v>0</v>
      </c>
      <c r="P116" s="217">
        <f t="shared" si="2"/>
        <v>12.6935</v>
      </c>
      <c r="Q116" s="217" t="s">
        <v>1160</v>
      </c>
      <c r="R116" s="216" t="s">
        <v>187</v>
      </c>
      <c r="S116" s="285" t="s">
        <v>188</v>
      </c>
      <c r="T116" s="285"/>
    </row>
    <row r="117" spans="1:20" s="286" customFormat="1" ht="72.75" customHeight="1" x14ac:dyDescent="0.2">
      <c r="A117" s="335"/>
      <c r="B117" s="335"/>
      <c r="C117" s="336" t="s">
        <v>1428</v>
      </c>
      <c r="D117" s="274" t="s">
        <v>21</v>
      </c>
      <c r="E117" s="298">
        <v>19.059999999999999</v>
      </c>
      <c r="F117" s="299">
        <v>94.352999999999994</v>
      </c>
      <c r="G117" s="300">
        <v>8.4920000000000009</v>
      </c>
      <c r="H117" s="299">
        <v>0.47199999999999998</v>
      </c>
      <c r="I117" s="299">
        <v>0</v>
      </c>
      <c r="J117" s="299">
        <v>0</v>
      </c>
      <c r="K117" s="299">
        <v>8.02</v>
      </c>
      <c r="L117" s="301">
        <v>0</v>
      </c>
      <c r="M117" s="299">
        <v>0</v>
      </c>
      <c r="N117" s="299">
        <v>8.4920000000000009</v>
      </c>
      <c r="O117" s="299">
        <v>0</v>
      </c>
      <c r="P117" s="299">
        <v>8.4920000000000009</v>
      </c>
      <c r="Q117" s="299"/>
      <c r="R117" s="274"/>
      <c r="S117" s="285"/>
      <c r="T117" s="285"/>
    </row>
    <row r="118" spans="1:20" s="286" customFormat="1" ht="72.75" customHeight="1" x14ac:dyDescent="0.2">
      <c r="A118" s="335"/>
      <c r="B118" s="335"/>
      <c r="C118" s="336"/>
      <c r="D118" s="274" t="s">
        <v>22</v>
      </c>
      <c r="E118" s="298">
        <v>19.059999999999999</v>
      </c>
      <c r="F118" s="299">
        <v>101.548</v>
      </c>
      <c r="G118" s="300">
        <v>9.1389999999999993</v>
      </c>
      <c r="H118" s="299">
        <v>0.50800000000000001</v>
      </c>
      <c r="I118" s="299">
        <v>0</v>
      </c>
      <c r="J118" s="299">
        <v>0</v>
      </c>
      <c r="K118" s="299">
        <v>8.6319999999999997</v>
      </c>
      <c r="L118" s="301">
        <v>0</v>
      </c>
      <c r="M118" s="299">
        <v>0</v>
      </c>
      <c r="N118" s="299">
        <v>9.1389999999999993</v>
      </c>
      <c r="O118" s="299">
        <v>0</v>
      </c>
      <c r="P118" s="299">
        <v>9.1389999999999993</v>
      </c>
      <c r="Q118" s="299"/>
      <c r="R118" s="274"/>
      <c r="S118" s="285"/>
      <c r="T118" s="285"/>
    </row>
    <row r="119" spans="1:20" s="286" customFormat="1" ht="72.75" customHeight="1" x14ac:dyDescent="0.2">
      <c r="A119" s="335"/>
      <c r="B119" s="335"/>
      <c r="C119" s="336"/>
      <c r="D119" s="274" t="s">
        <v>24</v>
      </c>
      <c r="E119" s="298">
        <v>29.46</v>
      </c>
      <c r="F119" s="299">
        <v>125.176</v>
      </c>
      <c r="G119" s="300">
        <v>11.266</v>
      </c>
      <c r="H119" s="299">
        <v>0.626</v>
      </c>
      <c r="I119" s="299">
        <v>0</v>
      </c>
      <c r="J119" s="299">
        <v>0</v>
      </c>
      <c r="K119" s="299">
        <v>10.64</v>
      </c>
      <c r="L119" s="301">
        <v>0</v>
      </c>
      <c r="M119" s="299">
        <v>0</v>
      </c>
      <c r="N119" s="299">
        <v>11.266</v>
      </c>
      <c r="O119" s="299">
        <v>0</v>
      </c>
      <c r="P119" s="299">
        <v>11.266</v>
      </c>
      <c r="Q119" s="299"/>
      <c r="R119" s="274"/>
      <c r="S119" s="285"/>
      <c r="T119" s="285"/>
    </row>
    <row r="120" spans="1:20" s="286" customFormat="1" ht="72.75" customHeight="1" x14ac:dyDescent="0.2">
      <c r="A120" s="335"/>
      <c r="B120" s="335"/>
      <c r="C120" s="336"/>
      <c r="D120" s="274" t="s">
        <v>27</v>
      </c>
      <c r="E120" s="298">
        <v>29.46</v>
      </c>
      <c r="F120" s="299">
        <v>113.89400000000001</v>
      </c>
      <c r="G120" s="300">
        <v>10.25</v>
      </c>
      <c r="H120" s="299">
        <v>0.56899999999999995</v>
      </c>
      <c r="I120" s="299">
        <v>0</v>
      </c>
      <c r="J120" s="299">
        <v>0</v>
      </c>
      <c r="K120" s="299">
        <v>9.6809999999999992</v>
      </c>
      <c r="L120" s="301">
        <v>0</v>
      </c>
      <c r="M120" s="299">
        <v>0</v>
      </c>
      <c r="N120" s="299">
        <v>10.25</v>
      </c>
      <c r="O120" s="299">
        <v>0</v>
      </c>
      <c r="P120" s="299">
        <v>10.25</v>
      </c>
      <c r="Q120" s="299"/>
      <c r="R120" s="274"/>
      <c r="S120" s="285"/>
      <c r="T120" s="285"/>
    </row>
    <row r="121" spans="1:20" ht="72.75" customHeight="1" x14ac:dyDescent="0.2">
      <c r="A121" s="333">
        <v>16</v>
      </c>
      <c r="B121" s="333" t="s">
        <v>222</v>
      </c>
      <c r="C121" s="333" t="s">
        <v>1298</v>
      </c>
      <c r="D121" s="216" t="s">
        <v>24</v>
      </c>
      <c r="E121" s="216">
        <f>4.5+4.5+3+7.06+5.2+5.2</f>
        <v>29.459999999999997</v>
      </c>
      <c r="F121" s="217">
        <v>125.175715</v>
      </c>
      <c r="G121" s="287">
        <f>F121*9%</f>
        <v>11.265814349999999</v>
      </c>
      <c r="H121" s="217"/>
      <c r="I121" s="217">
        <v>0</v>
      </c>
      <c r="J121" s="217">
        <f t="shared" si="11"/>
        <v>0</v>
      </c>
      <c r="K121" s="217"/>
      <c r="L121" s="284">
        <v>0</v>
      </c>
      <c r="M121" s="217">
        <f t="shared" ref="M121:M130" si="12">(0*1000/1000000)</f>
        <v>0</v>
      </c>
      <c r="N121" s="217">
        <f>G121</f>
        <v>11.265814349999999</v>
      </c>
      <c r="O121" s="217">
        <f t="shared" ref="O121:O201" si="13">+((I121+J121)+(L121+M121))</f>
        <v>0</v>
      </c>
      <c r="P121" s="217">
        <f t="shared" ref="P121:P201" si="14">+N121-O121</f>
        <v>11.265814349999999</v>
      </c>
      <c r="Q121" s="289" t="s">
        <v>1191</v>
      </c>
      <c r="R121" s="289" t="s">
        <v>1192</v>
      </c>
      <c r="S121" s="215" t="s">
        <v>282</v>
      </c>
      <c r="T121" s="215" t="s">
        <v>283</v>
      </c>
    </row>
    <row r="122" spans="1:20" ht="72.75" customHeight="1" x14ac:dyDescent="0.2">
      <c r="A122" s="333"/>
      <c r="B122" s="333"/>
      <c r="C122" s="333"/>
      <c r="D122" s="216" t="s">
        <v>27</v>
      </c>
      <c r="E122" s="216">
        <f>4.5+4.5+3+7.06+5.2+5.2</f>
        <v>29.459999999999997</v>
      </c>
      <c r="F122" s="217">
        <v>113.893669</v>
      </c>
      <c r="G122" s="287">
        <f>F122*9%</f>
        <v>10.250430209999999</v>
      </c>
      <c r="H122" s="217"/>
      <c r="I122" s="217">
        <v>0</v>
      </c>
      <c r="J122" s="217">
        <f t="shared" si="11"/>
        <v>0</v>
      </c>
      <c r="K122" s="217"/>
      <c r="L122" s="284">
        <v>0</v>
      </c>
      <c r="M122" s="217">
        <f t="shared" si="12"/>
        <v>0</v>
      </c>
      <c r="N122" s="217">
        <f>G122</f>
        <v>10.250430209999999</v>
      </c>
      <c r="O122" s="217">
        <f t="shared" si="13"/>
        <v>0</v>
      </c>
      <c r="P122" s="304">
        <f t="shared" si="14"/>
        <v>10.250430209999999</v>
      </c>
      <c r="Q122" s="289" t="s">
        <v>1231</v>
      </c>
      <c r="R122" s="297" t="s">
        <v>1232</v>
      </c>
      <c r="S122" s="215" t="s">
        <v>282</v>
      </c>
      <c r="T122" s="215" t="s">
        <v>283</v>
      </c>
    </row>
    <row r="123" spans="1:20" ht="72.75" customHeight="1" x14ac:dyDescent="0.2">
      <c r="A123" s="333">
        <v>17</v>
      </c>
      <c r="B123" s="335" t="s">
        <v>222</v>
      </c>
      <c r="C123" s="333" t="s">
        <v>1298</v>
      </c>
      <c r="D123" s="216" t="s">
        <v>24</v>
      </c>
      <c r="E123" s="216">
        <v>10.199999999999999</v>
      </c>
      <c r="F123" s="217">
        <v>17.290459999999999</v>
      </c>
      <c r="G123" s="287">
        <f t="shared" ref="G123:G202" si="15">H123+K123</f>
        <v>2.37743825</v>
      </c>
      <c r="H123" s="217">
        <f>+F123*0.0275</f>
        <v>0.47548764999999998</v>
      </c>
      <c r="I123" s="217">
        <v>0</v>
      </c>
      <c r="J123" s="217">
        <f t="shared" si="11"/>
        <v>0</v>
      </c>
      <c r="K123" s="217">
        <f>+F123*(11/100)</f>
        <v>1.9019505999999999</v>
      </c>
      <c r="L123" s="284">
        <v>0</v>
      </c>
      <c r="M123" s="217">
        <f t="shared" si="12"/>
        <v>0</v>
      </c>
      <c r="N123" s="217">
        <f t="shared" ref="N123:N201" si="16">+H123+K123</f>
        <v>2.37743825</v>
      </c>
      <c r="O123" s="217">
        <f t="shared" si="13"/>
        <v>0</v>
      </c>
      <c r="P123" s="217">
        <f t="shared" si="14"/>
        <v>2.37743825</v>
      </c>
      <c r="Q123" s="289" t="s">
        <v>1208</v>
      </c>
      <c r="R123" s="289" t="s">
        <v>223</v>
      </c>
      <c r="S123" s="215" t="s">
        <v>282</v>
      </c>
      <c r="T123" s="215" t="s">
        <v>283</v>
      </c>
    </row>
    <row r="124" spans="1:20" ht="72.75" customHeight="1" x14ac:dyDescent="0.2">
      <c r="A124" s="333"/>
      <c r="B124" s="335"/>
      <c r="C124" s="333"/>
      <c r="D124" s="216" t="s">
        <v>27</v>
      </c>
      <c r="E124" s="216">
        <v>10.199999999999999</v>
      </c>
      <c r="F124" s="217">
        <v>12.276579999999999</v>
      </c>
      <c r="G124" s="287"/>
      <c r="H124" s="217">
        <f>+F124*0.0275</f>
        <v>0.33760594999999999</v>
      </c>
      <c r="I124" s="217">
        <v>0</v>
      </c>
      <c r="J124" s="217">
        <f t="shared" si="11"/>
        <v>0</v>
      </c>
      <c r="K124" s="217">
        <f>+F124*(11/100)</f>
        <v>1.3504238</v>
      </c>
      <c r="L124" s="284">
        <v>0</v>
      </c>
      <c r="M124" s="217">
        <f t="shared" si="12"/>
        <v>0</v>
      </c>
      <c r="N124" s="217">
        <f t="shared" si="16"/>
        <v>1.6880297499999999</v>
      </c>
      <c r="O124" s="217">
        <f t="shared" si="13"/>
        <v>0</v>
      </c>
      <c r="P124" s="217">
        <f t="shared" si="14"/>
        <v>1.6880297499999999</v>
      </c>
      <c r="Q124" s="289" t="s">
        <v>1252</v>
      </c>
      <c r="R124" s="289" t="s">
        <v>224</v>
      </c>
      <c r="S124" s="215" t="s">
        <v>282</v>
      </c>
      <c r="T124" s="215" t="s">
        <v>283</v>
      </c>
    </row>
    <row r="125" spans="1:20" ht="72.75" customHeight="1" x14ac:dyDescent="0.2">
      <c r="A125" s="333"/>
      <c r="B125" s="335"/>
      <c r="C125" s="336" t="s">
        <v>1432</v>
      </c>
      <c r="D125" s="274" t="s">
        <v>24</v>
      </c>
      <c r="E125" s="274">
        <v>10.199999999999999</v>
      </c>
      <c r="F125" s="299">
        <v>17.290459999999999</v>
      </c>
      <c r="G125" s="300">
        <v>2.3769999999999998</v>
      </c>
      <c r="H125" s="299">
        <f>2.75%*F125</f>
        <v>0.47548764999999998</v>
      </c>
      <c r="I125" s="299">
        <v>0</v>
      </c>
      <c r="J125" s="299">
        <v>0</v>
      </c>
      <c r="K125" s="299">
        <f>11%*F125</f>
        <v>1.9019505999999999</v>
      </c>
      <c r="L125" s="301">
        <v>0</v>
      </c>
      <c r="M125" s="299">
        <v>0</v>
      </c>
      <c r="N125" s="299">
        <f t="shared" si="16"/>
        <v>2.37743825</v>
      </c>
      <c r="O125" s="299">
        <f t="shared" si="13"/>
        <v>0</v>
      </c>
      <c r="P125" s="299">
        <f t="shared" si="14"/>
        <v>2.37743825</v>
      </c>
      <c r="Q125" s="302"/>
      <c r="R125" s="302"/>
      <c r="S125" s="215"/>
      <c r="T125" s="215"/>
    </row>
    <row r="126" spans="1:20" ht="72.75" customHeight="1" x14ac:dyDescent="0.2">
      <c r="A126" s="333"/>
      <c r="B126" s="335"/>
      <c r="C126" s="336"/>
      <c r="D126" s="274" t="s">
        <v>27</v>
      </c>
      <c r="E126" s="274">
        <v>10.199999999999999</v>
      </c>
      <c r="F126" s="299">
        <v>12.276579999999999</v>
      </c>
      <c r="G126" s="300">
        <v>1.6879999999999999</v>
      </c>
      <c r="H126" s="299">
        <f>2.75%*F126</f>
        <v>0.33760594999999999</v>
      </c>
      <c r="I126" s="299">
        <v>0</v>
      </c>
      <c r="J126" s="299">
        <v>0</v>
      </c>
      <c r="K126" s="299">
        <f>11%*F126</f>
        <v>1.3504238</v>
      </c>
      <c r="L126" s="301">
        <v>0</v>
      </c>
      <c r="M126" s="299">
        <v>0</v>
      </c>
      <c r="N126" s="299">
        <f t="shared" si="16"/>
        <v>1.6880297499999999</v>
      </c>
      <c r="O126" s="299">
        <f t="shared" si="13"/>
        <v>0</v>
      </c>
      <c r="P126" s="299">
        <f t="shared" si="14"/>
        <v>1.6880297499999999</v>
      </c>
      <c r="Q126" s="302"/>
      <c r="R126" s="302"/>
      <c r="S126" s="215"/>
      <c r="T126" s="215"/>
    </row>
    <row r="127" spans="1:20" s="286" customFormat="1" ht="72.75" customHeight="1" x14ac:dyDescent="0.2">
      <c r="A127" s="335">
        <v>18</v>
      </c>
      <c r="B127" s="335" t="s">
        <v>226</v>
      </c>
      <c r="C127" s="333" t="s">
        <v>1298</v>
      </c>
      <c r="D127" s="216" t="s">
        <v>21</v>
      </c>
      <c r="E127" s="216">
        <v>43</v>
      </c>
      <c r="F127" s="217">
        <f>211502000/1000000</f>
        <v>211.50200000000001</v>
      </c>
      <c r="G127" s="287">
        <f>H127+K127</f>
        <v>23.265220000000003</v>
      </c>
      <c r="H127" s="217">
        <f>+F127*0.01</f>
        <v>2.1150200000000003</v>
      </c>
      <c r="I127" s="217">
        <v>0</v>
      </c>
      <c r="J127" s="217">
        <f t="shared" si="11"/>
        <v>0</v>
      </c>
      <c r="K127" s="217">
        <f>+F127*(10/100)</f>
        <v>21.150200000000002</v>
      </c>
      <c r="L127" s="284">
        <v>0</v>
      </c>
      <c r="M127" s="217">
        <f t="shared" si="12"/>
        <v>0</v>
      </c>
      <c r="N127" s="217">
        <f>+H127+K127</f>
        <v>23.265220000000003</v>
      </c>
      <c r="O127" s="217">
        <f>+((I127+J127)+(L127+M127))</f>
        <v>0</v>
      </c>
      <c r="P127" s="217">
        <f>+N127-O127</f>
        <v>23.265220000000003</v>
      </c>
      <c r="Q127" s="217" t="s">
        <v>1123</v>
      </c>
      <c r="R127" s="314" t="s">
        <v>227</v>
      </c>
      <c r="S127" s="285" t="s">
        <v>282</v>
      </c>
      <c r="T127" s="285" t="s">
        <v>283</v>
      </c>
    </row>
    <row r="128" spans="1:20" s="286" customFormat="1" ht="72.75" customHeight="1" x14ac:dyDescent="0.2">
      <c r="A128" s="335"/>
      <c r="B128" s="335"/>
      <c r="C128" s="333"/>
      <c r="D128" s="216" t="s">
        <v>22</v>
      </c>
      <c r="E128" s="216">
        <v>43</v>
      </c>
      <c r="F128" s="217">
        <v>208.74700000000001</v>
      </c>
      <c r="G128" s="287">
        <f>H128+K128</f>
        <v>26.093375000000002</v>
      </c>
      <c r="H128" s="217">
        <f>+F128*0.02</f>
        <v>4.1749400000000003</v>
      </c>
      <c r="I128" s="217">
        <v>0</v>
      </c>
      <c r="J128" s="217">
        <f t="shared" si="11"/>
        <v>0</v>
      </c>
      <c r="K128" s="217">
        <f>+F128*(10.5/100)</f>
        <v>21.918435000000002</v>
      </c>
      <c r="L128" s="284">
        <v>0</v>
      </c>
      <c r="M128" s="217">
        <f t="shared" si="12"/>
        <v>0</v>
      </c>
      <c r="N128" s="217">
        <f>+H128+K128</f>
        <v>26.093375000000002</v>
      </c>
      <c r="O128" s="217">
        <f>+((I128+J128)+(L128+M128))</f>
        <v>0</v>
      </c>
      <c r="P128" s="217">
        <f>+N128-O128</f>
        <v>26.093375000000002</v>
      </c>
      <c r="Q128" s="217" t="s">
        <v>1160</v>
      </c>
      <c r="R128" s="314" t="s">
        <v>228</v>
      </c>
      <c r="S128" s="285" t="s">
        <v>282</v>
      </c>
      <c r="T128" s="285" t="s">
        <v>283</v>
      </c>
    </row>
    <row r="129" spans="1:20" s="286" customFormat="1" ht="72.75" customHeight="1" x14ac:dyDescent="0.2">
      <c r="A129" s="335"/>
      <c r="B129" s="335"/>
      <c r="C129" s="333"/>
      <c r="D129" s="216" t="s">
        <v>24</v>
      </c>
      <c r="E129" s="216">
        <v>43</v>
      </c>
      <c r="F129" s="271">
        <v>158.70617999999999</v>
      </c>
      <c r="G129" s="287">
        <f>F129*9%</f>
        <v>14.283556199999998</v>
      </c>
      <c r="H129" s="217"/>
      <c r="I129" s="217">
        <v>0</v>
      </c>
      <c r="J129" s="217">
        <f t="shared" si="11"/>
        <v>0</v>
      </c>
      <c r="K129" s="217"/>
      <c r="L129" s="284">
        <v>0</v>
      </c>
      <c r="M129" s="217">
        <f t="shared" si="12"/>
        <v>0</v>
      </c>
      <c r="N129" s="217">
        <f>G129</f>
        <v>14.283556199999998</v>
      </c>
      <c r="O129" s="217">
        <f>+((I129+J129)+(L129+M129))</f>
        <v>0</v>
      </c>
      <c r="P129" s="217">
        <f>+N129-O129</f>
        <v>14.283556199999998</v>
      </c>
      <c r="Q129" s="289" t="s">
        <v>1193</v>
      </c>
      <c r="R129" s="315" t="s">
        <v>225</v>
      </c>
      <c r="S129" s="285" t="s">
        <v>282</v>
      </c>
      <c r="T129" s="285" t="s">
        <v>283</v>
      </c>
    </row>
    <row r="130" spans="1:20" s="286" customFormat="1" ht="72.75" customHeight="1" x14ac:dyDescent="0.2">
      <c r="A130" s="335"/>
      <c r="B130" s="335"/>
      <c r="C130" s="333"/>
      <c r="D130" s="216" t="s">
        <v>27</v>
      </c>
      <c r="E130" s="216">
        <v>43</v>
      </c>
      <c r="F130" s="271">
        <v>156.82622000000001</v>
      </c>
      <c r="G130" s="287">
        <f>F130*9%</f>
        <v>14.114359800000001</v>
      </c>
      <c r="H130" s="217"/>
      <c r="I130" s="217">
        <v>0</v>
      </c>
      <c r="J130" s="217">
        <f t="shared" si="11"/>
        <v>0</v>
      </c>
      <c r="K130" s="217"/>
      <c r="L130" s="284">
        <v>0</v>
      </c>
      <c r="M130" s="217">
        <f t="shared" si="12"/>
        <v>0</v>
      </c>
      <c r="N130" s="217">
        <f>G130</f>
        <v>14.114359800000001</v>
      </c>
      <c r="O130" s="217">
        <f t="shared" si="13"/>
        <v>0</v>
      </c>
      <c r="P130" s="304">
        <f t="shared" si="14"/>
        <v>14.114359800000001</v>
      </c>
      <c r="Q130" s="289" t="s">
        <v>1233</v>
      </c>
      <c r="R130" s="315" t="s">
        <v>1234</v>
      </c>
      <c r="S130" s="285" t="s">
        <v>282</v>
      </c>
      <c r="T130" s="285" t="s">
        <v>283</v>
      </c>
    </row>
    <row r="131" spans="1:20" s="286" customFormat="1" ht="72.75" customHeight="1" x14ac:dyDescent="0.2">
      <c r="A131" s="335"/>
      <c r="B131" s="335"/>
      <c r="C131" s="335" t="s">
        <v>1378</v>
      </c>
      <c r="D131" s="274" t="s">
        <v>21</v>
      </c>
      <c r="E131" s="274">
        <v>43</v>
      </c>
      <c r="F131" s="312">
        <v>153.66300000000001</v>
      </c>
      <c r="G131" s="300">
        <v>13.829000000000001</v>
      </c>
      <c r="H131" s="299">
        <v>0.76800000000000002</v>
      </c>
      <c r="I131" s="299">
        <v>0</v>
      </c>
      <c r="J131" s="299">
        <v>0</v>
      </c>
      <c r="K131" s="299">
        <v>13.061</v>
      </c>
      <c r="L131" s="299">
        <v>0</v>
      </c>
      <c r="M131" s="299">
        <v>0</v>
      </c>
      <c r="N131" s="299">
        <v>13.829000000000001</v>
      </c>
      <c r="O131" s="299">
        <v>0</v>
      </c>
      <c r="P131" s="316">
        <v>13.829000000000001</v>
      </c>
      <c r="Q131" s="302"/>
      <c r="R131" s="303"/>
      <c r="S131" s="285"/>
      <c r="T131" s="285"/>
    </row>
    <row r="132" spans="1:20" s="286" customFormat="1" ht="72.75" customHeight="1" x14ac:dyDescent="0.2">
      <c r="A132" s="335"/>
      <c r="B132" s="335"/>
      <c r="C132" s="335"/>
      <c r="D132" s="274" t="s">
        <v>22</v>
      </c>
      <c r="E132" s="274">
        <v>43</v>
      </c>
      <c r="F132" s="312">
        <v>153.45599999999999</v>
      </c>
      <c r="G132" s="300">
        <v>13.811</v>
      </c>
      <c r="H132" s="299">
        <v>0.76700000000000002</v>
      </c>
      <c r="I132" s="299">
        <v>0</v>
      </c>
      <c r="J132" s="299">
        <v>0</v>
      </c>
      <c r="K132" s="299">
        <v>13.044</v>
      </c>
      <c r="L132" s="299">
        <v>0</v>
      </c>
      <c r="M132" s="299">
        <v>0</v>
      </c>
      <c r="N132" s="299">
        <v>13.811</v>
      </c>
      <c r="O132" s="299">
        <v>0</v>
      </c>
      <c r="P132" s="316">
        <v>13.811</v>
      </c>
      <c r="Q132" s="302"/>
      <c r="R132" s="303"/>
      <c r="S132" s="285"/>
      <c r="T132" s="285"/>
    </row>
    <row r="133" spans="1:20" s="286" customFormat="1" ht="72.75" customHeight="1" x14ac:dyDescent="0.2">
      <c r="A133" s="335"/>
      <c r="B133" s="335"/>
      <c r="C133" s="335"/>
      <c r="D133" s="274" t="s">
        <v>24</v>
      </c>
      <c r="E133" s="274">
        <v>43</v>
      </c>
      <c r="F133" s="312">
        <v>158.70599999999999</v>
      </c>
      <c r="G133" s="300">
        <v>14.284000000000001</v>
      </c>
      <c r="H133" s="299"/>
      <c r="I133" s="299">
        <v>0</v>
      </c>
      <c r="J133" s="299">
        <v>0</v>
      </c>
      <c r="K133" s="299"/>
      <c r="L133" s="299">
        <v>0</v>
      </c>
      <c r="M133" s="299">
        <v>0</v>
      </c>
      <c r="N133" s="299">
        <v>14.284000000000001</v>
      </c>
      <c r="O133" s="299">
        <v>0</v>
      </c>
      <c r="P133" s="316">
        <v>14.284000000000001</v>
      </c>
      <c r="Q133" s="302"/>
      <c r="R133" s="303"/>
      <c r="S133" s="285"/>
      <c r="T133" s="285"/>
    </row>
    <row r="134" spans="1:20" s="286" customFormat="1" ht="72.75" customHeight="1" x14ac:dyDescent="0.2">
      <c r="A134" s="335"/>
      <c r="B134" s="335"/>
      <c r="C134" s="335"/>
      <c r="D134" s="274" t="s">
        <v>27</v>
      </c>
      <c r="E134" s="274">
        <v>43</v>
      </c>
      <c r="F134" s="312">
        <v>156.82599999999999</v>
      </c>
      <c r="G134" s="300">
        <v>14.114000000000001</v>
      </c>
      <c r="H134" s="299"/>
      <c r="I134" s="299">
        <v>0</v>
      </c>
      <c r="J134" s="299">
        <v>0</v>
      </c>
      <c r="K134" s="299"/>
      <c r="L134" s="299">
        <v>0</v>
      </c>
      <c r="M134" s="299">
        <v>0</v>
      </c>
      <c r="N134" s="299">
        <v>14.114000000000001</v>
      </c>
      <c r="O134" s="299">
        <v>0</v>
      </c>
      <c r="P134" s="316">
        <v>14.114000000000001</v>
      </c>
      <c r="Q134" s="302"/>
      <c r="R134" s="303"/>
      <c r="S134" s="285"/>
      <c r="T134" s="285"/>
    </row>
    <row r="135" spans="1:20" s="286" customFormat="1" ht="72.75" customHeight="1" x14ac:dyDescent="0.2">
      <c r="A135" s="335">
        <v>19</v>
      </c>
      <c r="B135" s="335" t="s">
        <v>229</v>
      </c>
      <c r="C135" s="333" t="s">
        <v>1298</v>
      </c>
      <c r="D135" s="216" t="s">
        <v>21</v>
      </c>
      <c r="E135" s="283">
        <v>15</v>
      </c>
      <c r="F135" s="217">
        <v>96.322417999999999</v>
      </c>
      <c r="G135" s="287">
        <f t="shared" si="15"/>
        <v>10.59546598</v>
      </c>
      <c r="H135" s="217">
        <f>+F135*0.01</f>
        <v>0.96322417999999999</v>
      </c>
      <c r="I135" s="217">
        <v>0</v>
      </c>
      <c r="J135" s="217">
        <f t="shared" si="11"/>
        <v>0</v>
      </c>
      <c r="K135" s="217">
        <f>+F135*(10/100)</f>
        <v>9.632241800000001</v>
      </c>
      <c r="L135" s="284">
        <v>0</v>
      </c>
      <c r="M135" s="217">
        <v>0</v>
      </c>
      <c r="N135" s="217">
        <f t="shared" si="16"/>
        <v>10.59546598</v>
      </c>
      <c r="O135" s="217">
        <f t="shared" si="13"/>
        <v>0</v>
      </c>
      <c r="P135" s="217">
        <f t="shared" si="14"/>
        <v>10.59546598</v>
      </c>
      <c r="Q135" s="217" t="s">
        <v>168</v>
      </c>
      <c r="R135" s="216" t="s">
        <v>230</v>
      </c>
      <c r="S135" s="285" t="s">
        <v>282</v>
      </c>
      <c r="T135" s="285" t="s">
        <v>283</v>
      </c>
    </row>
    <row r="136" spans="1:20" s="318" customFormat="1" ht="72.75" customHeight="1" x14ac:dyDescent="0.2">
      <c r="A136" s="335"/>
      <c r="B136" s="335"/>
      <c r="C136" s="333"/>
      <c r="D136" s="216" t="s">
        <v>22</v>
      </c>
      <c r="E136" s="283">
        <v>15</v>
      </c>
      <c r="F136" s="217">
        <v>117.13</v>
      </c>
      <c r="G136" s="287">
        <f t="shared" si="15"/>
        <v>14.641249999999999</v>
      </c>
      <c r="H136" s="217">
        <f>+F136*0.02</f>
        <v>2.3426</v>
      </c>
      <c r="I136" s="217">
        <v>0</v>
      </c>
      <c r="J136" s="217">
        <f t="shared" si="11"/>
        <v>0</v>
      </c>
      <c r="K136" s="217">
        <f>+F136*(10.5/100)</f>
        <v>12.298649999999999</v>
      </c>
      <c r="L136" s="284">
        <v>0</v>
      </c>
      <c r="M136" s="217">
        <v>0</v>
      </c>
      <c r="N136" s="217">
        <f t="shared" si="16"/>
        <v>14.641249999999999</v>
      </c>
      <c r="O136" s="217">
        <f t="shared" si="13"/>
        <v>0</v>
      </c>
      <c r="P136" s="217">
        <f t="shared" si="14"/>
        <v>14.641249999999999</v>
      </c>
      <c r="Q136" s="217" t="s">
        <v>1160</v>
      </c>
      <c r="R136" s="216" t="s">
        <v>231</v>
      </c>
      <c r="S136" s="317" t="s">
        <v>282</v>
      </c>
      <c r="T136" s="317" t="s">
        <v>283</v>
      </c>
    </row>
    <row r="137" spans="1:20" s="286" customFormat="1" ht="72.75" customHeight="1" x14ac:dyDescent="0.2">
      <c r="A137" s="335"/>
      <c r="B137" s="335"/>
      <c r="C137" s="333"/>
      <c r="D137" s="216" t="s">
        <v>24</v>
      </c>
      <c r="E137" s="283">
        <v>15</v>
      </c>
      <c r="F137" s="217">
        <v>83.69</v>
      </c>
      <c r="G137" s="287">
        <f>F137*9%</f>
        <v>7.5320999999999998</v>
      </c>
      <c r="H137" s="217"/>
      <c r="I137" s="217">
        <v>0</v>
      </c>
      <c r="J137" s="217">
        <f t="shared" si="11"/>
        <v>0</v>
      </c>
      <c r="K137" s="217"/>
      <c r="L137" s="284">
        <v>0</v>
      </c>
      <c r="M137" s="217">
        <v>0</v>
      </c>
      <c r="N137" s="217">
        <f>G137</f>
        <v>7.5320999999999998</v>
      </c>
      <c r="O137" s="217">
        <f t="shared" si="13"/>
        <v>0</v>
      </c>
      <c r="P137" s="217">
        <f t="shared" si="14"/>
        <v>7.5320999999999998</v>
      </c>
      <c r="Q137" s="289" t="s">
        <v>1185</v>
      </c>
      <c r="R137" s="289" t="s">
        <v>1186</v>
      </c>
      <c r="S137" s="285" t="s">
        <v>282</v>
      </c>
      <c r="T137" s="285" t="s">
        <v>283</v>
      </c>
    </row>
    <row r="138" spans="1:20" s="286" customFormat="1" ht="72.75" customHeight="1" x14ac:dyDescent="0.2">
      <c r="A138" s="335"/>
      <c r="B138" s="335"/>
      <c r="C138" s="333"/>
      <c r="D138" s="216" t="s">
        <v>27</v>
      </c>
      <c r="E138" s="283">
        <v>15</v>
      </c>
      <c r="F138" s="217">
        <v>94.94</v>
      </c>
      <c r="G138" s="287">
        <f>F138*9%</f>
        <v>8.5445999999999991</v>
      </c>
      <c r="H138" s="217"/>
      <c r="I138" s="217">
        <v>0</v>
      </c>
      <c r="J138" s="217">
        <f t="shared" si="11"/>
        <v>0</v>
      </c>
      <c r="K138" s="217"/>
      <c r="L138" s="284">
        <v>0</v>
      </c>
      <c r="M138" s="217">
        <v>0</v>
      </c>
      <c r="N138" s="217">
        <f>G138</f>
        <v>8.5445999999999991</v>
      </c>
      <c r="O138" s="217">
        <f t="shared" si="13"/>
        <v>0</v>
      </c>
      <c r="P138" s="217">
        <f t="shared" si="14"/>
        <v>8.5445999999999991</v>
      </c>
      <c r="Q138" s="289" t="s">
        <v>1225</v>
      </c>
      <c r="R138" s="289" t="s">
        <v>1226</v>
      </c>
      <c r="S138" s="285" t="s">
        <v>282</v>
      </c>
      <c r="T138" s="285" t="s">
        <v>283</v>
      </c>
    </row>
    <row r="139" spans="1:20" s="286" customFormat="1" ht="72.75" customHeight="1" x14ac:dyDescent="0.2">
      <c r="A139" s="335"/>
      <c r="B139" s="335"/>
      <c r="C139" s="336" t="s">
        <v>1330</v>
      </c>
      <c r="D139" s="274" t="s">
        <v>21</v>
      </c>
      <c r="E139" s="298">
        <v>15</v>
      </c>
      <c r="F139" s="299">
        <v>96.322000000000003</v>
      </c>
      <c r="G139" s="300">
        <v>10.595000000000001</v>
      </c>
      <c r="H139" s="299">
        <v>0</v>
      </c>
      <c r="I139" s="299">
        <v>0</v>
      </c>
      <c r="J139" s="299">
        <v>0</v>
      </c>
      <c r="K139" s="299">
        <v>0</v>
      </c>
      <c r="L139" s="299">
        <v>41.326999999999998</v>
      </c>
      <c r="M139" s="299">
        <v>0</v>
      </c>
      <c r="N139" s="299">
        <v>10.595000000000001</v>
      </c>
      <c r="O139" s="299">
        <v>41.326999999999998</v>
      </c>
      <c r="P139" s="299">
        <v>0</v>
      </c>
      <c r="Q139" s="302"/>
      <c r="R139" s="302"/>
      <c r="S139" s="285"/>
      <c r="T139" s="285"/>
    </row>
    <row r="140" spans="1:20" s="286" customFormat="1" ht="72.75" customHeight="1" x14ac:dyDescent="0.2">
      <c r="A140" s="335"/>
      <c r="B140" s="335"/>
      <c r="C140" s="336"/>
      <c r="D140" s="274" t="s">
        <v>22</v>
      </c>
      <c r="E140" s="298">
        <v>15</v>
      </c>
      <c r="F140" s="299">
        <v>100.842</v>
      </c>
      <c r="G140" s="300">
        <v>12.605</v>
      </c>
      <c r="H140" s="299">
        <v>0</v>
      </c>
      <c r="I140" s="299">
        <v>0</v>
      </c>
      <c r="J140" s="299">
        <v>0</v>
      </c>
      <c r="K140" s="299">
        <v>0</v>
      </c>
      <c r="L140" s="299">
        <v>40.244999999999997</v>
      </c>
      <c r="M140" s="299">
        <v>0</v>
      </c>
      <c r="N140" s="299">
        <v>14.641</v>
      </c>
      <c r="O140" s="299">
        <v>40.244999999999997</v>
      </c>
      <c r="P140" s="299">
        <v>0</v>
      </c>
      <c r="Q140" s="302"/>
      <c r="R140" s="302"/>
      <c r="S140" s="285"/>
      <c r="T140" s="285"/>
    </row>
    <row r="141" spans="1:20" s="286" customFormat="1" ht="72.75" customHeight="1" x14ac:dyDescent="0.2">
      <c r="A141" s="335"/>
      <c r="B141" s="335"/>
      <c r="C141" s="336"/>
      <c r="D141" s="274" t="s">
        <v>24</v>
      </c>
      <c r="E141" s="298">
        <v>15</v>
      </c>
      <c r="F141" s="299">
        <v>96.244</v>
      </c>
      <c r="G141" s="300">
        <v>13.234</v>
      </c>
      <c r="H141" s="299">
        <v>0</v>
      </c>
      <c r="I141" s="299">
        <v>0</v>
      </c>
      <c r="J141" s="299">
        <v>0</v>
      </c>
      <c r="K141" s="299">
        <v>0</v>
      </c>
      <c r="L141" s="299">
        <v>40.198</v>
      </c>
      <c r="M141" s="299">
        <v>0</v>
      </c>
      <c r="N141" s="299">
        <v>11.507</v>
      </c>
      <c r="O141" s="299">
        <v>40.198</v>
      </c>
      <c r="P141" s="299">
        <v>0</v>
      </c>
      <c r="Q141" s="302"/>
      <c r="R141" s="302"/>
      <c r="S141" s="285"/>
      <c r="T141" s="285"/>
    </row>
    <row r="142" spans="1:20" s="286" customFormat="1" ht="72.75" customHeight="1" x14ac:dyDescent="0.2">
      <c r="A142" s="335"/>
      <c r="B142" s="335"/>
      <c r="C142" s="336"/>
      <c r="D142" s="274" t="s">
        <v>27</v>
      </c>
      <c r="E142" s="298">
        <v>15</v>
      </c>
      <c r="F142" s="299">
        <v>94.942999999999998</v>
      </c>
      <c r="G142" s="300">
        <v>14.241</v>
      </c>
      <c r="H142" s="299">
        <v>0</v>
      </c>
      <c r="I142" s="299">
        <v>0</v>
      </c>
      <c r="J142" s="299">
        <v>0</v>
      </c>
      <c r="K142" s="299">
        <v>0</v>
      </c>
      <c r="L142" s="299">
        <v>36.362000000000002</v>
      </c>
      <c r="M142" s="299">
        <v>0</v>
      </c>
      <c r="N142" s="299">
        <v>14.241</v>
      </c>
      <c r="O142" s="299">
        <v>36.362000000000002</v>
      </c>
      <c r="P142" s="299">
        <v>0</v>
      </c>
      <c r="Q142" s="302"/>
      <c r="R142" s="302"/>
      <c r="S142" s="285"/>
      <c r="T142" s="285"/>
    </row>
    <row r="143" spans="1:20" ht="72.75" customHeight="1" x14ac:dyDescent="0.2">
      <c r="A143" s="333">
        <v>20</v>
      </c>
      <c r="B143" s="334" t="s">
        <v>243</v>
      </c>
      <c r="C143" s="334" t="s">
        <v>1298</v>
      </c>
      <c r="D143" s="216" t="s">
        <v>21</v>
      </c>
      <c r="E143" s="283">
        <v>25</v>
      </c>
      <c r="F143" s="217">
        <v>81.63</v>
      </c>
      <c r="G143" s="287">
        <f t="shared" si="15"/>
        <v>8.9793000000000003</v>
      </c>
      <c r="H143" s="217">
        <f>+F143*0.01</f>
        <v>0.81630000000000003</v>
      </c>
      <c r="I143" s="217">
        <v>0</v>
      </c>
      <c r="J143" s="217">
        <f t="shared" si="11"/>
        <v>0</v>
      </c>
      <c r="K143" s="217">
        <f>+F143*(10/100)</f>
        <v>8.1630000000000003</v>
      </c>
      <c r="L143" s="284">
        <v>0</v>
      </c>
      <c r="M143" s="217">
        <v>0</v>
      </c>
      <c r="N143" s="217">
        <f t="shared" si="16"/>
        <v>8.9793000000000003</v>
      </c>
      <c r="O143" s="217">
        <f t="shared" si="13"/>
        <v>0</v>
      </c>
      <c r="P143" s="217">
        <f t="shared" si="14"/>
        <v>8.9793000000000003</v>
      </c>
      <c r="Q143" s="217" t="s">
        <v>1123</v>
      </c>
      <c r="R143" s="216" t="s">
        <v>209</v>
      </c>
      <c r="S143" s="215" t="s">
        <v>188</v>
      </c>
      <c r="T143" s="215"/>
    </row>
    <row r="144" spans="1:20" ht="72.75" customHeight="1" x14ac:dyDescent="0.2">
      <c r="A144" s="333"/>
      <c r="B144" s="334"/>
      <c r="C144" s="334"/>
      <c r="D144" s="216" t="s">
        <v>22</v>
      </c>
      <c r="E144" s="283">
        <v>8</v>
      </c>
      <c r="F144" s="217">
        <v>22.873000000000001</v>
      </c>
      <c r="G144" s="287">
        <f t="shared" si="15"/>
        <v>2.8591250000000001</v>
      </c>
      <c r="H144" s="217">
        <f>+F144*0.02</f>
        <v>0.45746000000000003</v>
      </c>
      <c r="I144" s="217">
        <v>0</v>
      </c>
      <c r="J144" s="217">
        <f t="shared" si="11"/>
        <v>0</v>
      </c>
      <c r="K144" s="217">
        <f>+F144*(10.5/100)</f>
        <v>2.4016649999999999</v>
      </c>
      <c r="L144" s="284">
        <v>0</v>
      </c>
      <c r="M144" s="217">
        <f>(0*1000/1000000)</f>
        <v>0</v>
      </c>
      <c r="N144" s="217">
        <f t="shared" si="16"/>
        <v>2.8591250000000001</v>
      </c>
      <c r="O144" s="217">
        <f t="shared" si="13"/>
        <v>0</v>
      </c>
      <c r="P144" s="217">
        <f t="shared" si="14"/>
        <v>2.8591250000000001</v>
      </c>
      <c r="Q144" s="217" t="s">
        <v>1160</v>
      </c>
      <c r="R144" s="216" t="s">
        <v>209</v>
      </c>
      <c r="S144" s="215" t="s">
        <v>188</v>
      </c>
      <c r="T144" s="215"/>
    </row>
    <row r="145" spans="1:20" ht="72.75" customHeight="1" x14ac:dyDescent="0.2">
      <c r="A145" s="333"/>
      <c r="B145" s="334"/>
      <c r="C145" s="334"/>
      <c r="D145" s="223" t="s">
        <v>24</v>
      </c>
      <c r="E145" s="288">
        <v>8</v>
      </c>
      <c r="F145" s="271">
        <v>12.75</v>
      </c>
      <c r="G145" s="287">
        <f>F145*9%</f>
        <v>1.1475</v>
      </c>
      <c r="H145" s="217"/>
      <c r="I145" s="271">
        <v>0</v>
      </c>
      <c r="J145" s="271">
        <f t="shared" si="7"/>
        <v>0</v>
      </c>
      <c r="K145" s="217"/>
      <c r="L145" s="296">
        <v>0</v>
      </c>
      <c r="M145" s="271">
        <v>0</v>
      </c>
      <c r="N145" s="217">
        <f>G145</f>
        <v>1.1475</v>
      </c>
      <c r="O145" s="271">
        <f>+((I145+J145)+(L145+M145))</f>
        <v>0</v>
      </c>
      <c r="P145" s="271">
        <f>+N145-O145</f>
        <v>1.1475</v>
      </c>
      <c r="Q145" s="297" t="s">
        <v>1187</v>
      </c>
      <c r="R145" s="297" t="s">
        <v>1188</v>
      </c>
      <c r="S145" s="215" t="s">
        <v>282</v>
      </c>
      <c r="T145" s="215" t="s">
        <v>283</v>
      </c>
    </row>
    <row r="146" spans="1:20" ht="72.75" customHeight="1" x14ac:dyDescent="0.2">
      <c r="A146" s="333"/>
      <c r="B146" s="334"/>
      <c r="C146" s="334"/>
      <c r="D146" s="223" t="s">
        <v>27</v>
      </c>
      <c r="E146" s="288">
        <v>8</v>
      </c>
      <c r="F146" s="271">
        <v>11.343</v>
      </c>
      <c r="G146" s="287">
        <f>F146*9%</f>
        <v>1.0208699999999999</v>
      </c>
      <c r="H146" s="217"/>
      <c r="I146" s="271">
        <v>0</v>
      </c>
      <c r="J146" s="271">
        <f t="shared" si="7"/>
        <v>0</v>
      </c>
      <c r="K146" s="217"/>
      <c r="L146" s="296">
        <v>0</v>
      </c>
      <c r="M146" s="271">
        <v>0</v>
      </c>
      <c r="N146" s="217">
        <f>G146</f>
        <v>1.0208699999999999</v>
      </c>
      <c r="O146" s="271">
        <f>+((I146+J146)+(L146+M146))</f>
        <v>0</v>
      </c>
      <c r="P146" s="271">
        <f>+N146-O146</f>
        <v>1.0208699999999999</v>
      </c>
      <c r="Q146" s="297" t="s">
        <v>1227</v>
      </c>
      <c r="R146" s="297" t="s">
        <v>1228</v>
      </c>
      <c r="S146" s="215" t="s">
        <v>282</v>
      </c>
      <c r="T146" s="215" t="s">
        <v>283</v>
      </c>
    </row>
    <row r="147" spans="1:20" ht="72.75" customHeight="1" x14ac:dyDescent="0.2">
      <c r="A147" s="333">
        <v>21</v>
      </c>
      <c r="B147" s="216" t="s">
        <v>232</v>
      </c>
      <c r="C147" s="333" t="s">
        <v>1298</v>
      </c>
      <c r="D147" s="216" t="s">
        <v>22</v>
      </c>
      <c r="E147" s="283">
        <v>5</v>
      </c>
      <c r="F147" s="217">
        <v>2904.8</v>
      </c>
      <c r="G147" s="287">
        <f t="shared" si="15"/>
        <v>363.1</v>
      </c>
      <c r="H147" s="217">
        <f>+F147*0.02</f>
        <v>58.096000000000004</v>
      </c>
      <c r="I147" s="217">
        <v>0</v>
      </c>
      <c r="J147" s="217">
        <f>(59*1000/1000000)</f>
        <v>5.8999999999999997E-2</v>
      </c>
      <c r="K147" s="217">
        <f>+F147*(10.5/100)</f>
        <v>305.00400000000002</v>
      </c>
      <c r="L147" s="284">
        <v>0</v>
      </c>
      <c r="M147" s="217">
        <f>((305)*1000/1000000)</f>
        <v>0.30499999999999999</v>
      </c>
      <c r="N147" s="217">
        <f t="shared" si="16"/>
        <v>363.1</v>
      </c>
      <c r="O147" s="217">
        <f t="shared" si="13"/>
        <v>0.36399999999999999</v>
      </c>
      <c r="P147" s="217">
        <f t="shared" si="14"/>
        <v>362.73600000000005</v>
      </c>
      <c r="Q147" s="217" t="s">
        <v>1156</v>
      </c>
      <c r="R147" s="216" t="s">
        <v>233</v>
      </c>
      <c r="S147" s="215" t="s">
        <v>282</v>
      </c>
      <c r="T147" s="215" t="s">
        <v>283</v>
      </c>
    </row>
    <row r="148" spans="1:20" ht="72.75" customHeight="1" x14ac:dyDescent="0.2">
      <c r="A148" s="333"/>
      <c r="B148" s="333" t="s">
        <v>232</v>
      </c>
      <c r="C148" s="333"/>
      <c r="D148" s="216" t="s">
        <v>24</v>
      </c>
      <c r="E148" s="283">
        <v>5</v>
      </c>
      <c r="F148" s="217">
        <v>0.38900000000000001</v>
      </c>
      <c r="G148" s="287">
        <f>F148*9%</f>
        <v>3.5009999999999999E-2</v>
      </c>
      <c r="H148" s="217"/>
      <c r="I148" s="217">
        <v>0</v>
      </c>
      <c r="J148" s="217">
        <f>(0*1000/1000000)</f>
        <v>0</v>
      </c>
      <c r="K148" s="217"/>
      <c r="L148" s="284">
        <v>0</v>
      </c>
      <c r="M148" s="217">
        <f t="shared" si="8"/>
        <v>0</v>
      </c>
      <c r="N148" s="217">
        <f>G148</f>
        <v>3.5009999999999999E-2</v>
      </c>
      <c r="O148" s="217">
        <f t="shared" si="13"/>
        <v>0</v>
      </c>
      <c r="P148" s="217">
        <f t="shared" si="14"/>
        <v>3.5009999999999999E-2</v>
      </c>
      <c r="Q148" s="289" t="s">
        <v>1198</v>
      </c>
      <c r="R148" s="297" t="s">
        <v>1199</v>
      </c>
      <c r="S148" s="215" t="s">
        <v>188</v>
      </c>
      <c r="T148" s="215"/>
    </row>
    <row r="149" spans="1:20" ht="72.75" customHeight="1" x14ac:dyDescent="0.2">
      <c r="A149" s="333"/>
      <c r="B149" s="333"/>
      <c r="C149" s="333"/>
      <c r="D149" s="216" t="s">
        <v>27</v>
      </c>
      <c r="E149" s="283">
        <v>5</v>
      </c>
      <c r="F149" s="217">
        <v>8.1189999999999998E-2</v>
      </c>
      <c r="G149" s="287">
        <f>F149*9%</f>
        <v>7.3070999999999995E-3</v>
      </c>
      <c r="H149" s="217"/>
      <c r="I149" s="217">
        <v>0</v>
      </c>
      <c r="J149" s="217">
        <f>(2*1000/1000000)</f>
        <v>2E-3</v>
      </c>
      <c r="K149" s="217"/>
      <c r="L149" s="284">
        <v>0</v>
      </c>
      <c r="M149" s="217">
        <f t="shared" si="8"/>
        <v>0</v>
      </c>
      <c r="N149" s="217">
        <f>G149</f>
        <v>7.3070999999999995E-3</v>
      </c>
      <c r="O149" s="217">
        <f t="shared" si="13"/>
        <v>2E-3</v>
      </c>
      <c r="P149" s="217">
        <f t="shared" si="14"/>
        <v>5.3070999999999995E-3</v>
      </c>
      <c r="Q149" s="289" t="s">
        <v>1239</v>
      </c>
      <c r="R149" s="289" t="s">
        <v>1240</v>
      </c>
      <c r="S149" s="215" t="s">
        <v>282</v>
      </c>
      <c r="T149" s="215" t="s">
        <v>283</v>
      </c>
    </row>
    <row r="150" spans="1:20" s="286" customFormat="1" ht="72.75" customHeight="1" x14ac:dyDescent="0.2">
      <c r="A150" s="335">
        <v>22</v>
      </c>
      <c r="B150" s="335" t="s">
        <v>1261</v>
      </c>
      <c r="C150" s="333" t="s">
        <v>1298</v>
      </c>
      <c r="D150" s="216" t="s">
        <v>24</v>
      </c>
      <c r="E150" s="288">
        <v>7.5</v>
      </c>
      <c r="F150" s="217">
        <v>5.36</v>
      </c>
      <c r="G150" s="287">
        <f>H150+K150</f>
        <v>0.66999999999999993</v>
      </c>
      <c r="H150" s="217">
        <f>+F150*0.02</f>
        <v>0.1072</v>
      </c>
      <c r="I150" s="217">
        <v>0</v>
      </c>
      <c r="J150" s="217">
        <f t="shared" si="7"/>
        <v>0</v>
      </c>
      <c r="K150" s="217">
        <f>+F150*(10.5/100)</f>
        <v>0.56279999999999997</v>
      </c>
      <c r="L150" s="284">
        <v>0.59</v>
      </c>
      <c r="M150" s="217">
        <f t="shared" si="8"/>
        <v>0</v>
      </c>
      <c r="N150" s="217">
        <f>+H150+K150</f>
        <v>0.66999999999999993</v>
      </c>
      <c r="O150" s="217">
        <f>+((I150+J150)+(L150+M150))</f>
        <v>0.59</v>
      </c>
      <c r="P150" s="217">
        <f>+N150-O150</f>
        <v>7.999999999999996E-2</v>
      </c>
      <c r="Q150" s="216" t="s">
        <v>234</v>
      </c>
      <c r="R150" s="289" t="s">
        <v>236</v>
      </c>
      <c r="S150" s="285" t="s">
        <v>282</v>
      </c>
      <c r="T150" s="285" t="s">
        <v>283</v>
      </c>
    </row>
    <row r="151" spans="1:20" s="286" customFormat="1" ht="72.75" customHeight="1" x14ac:dyDescent="0.2">
      <c r="A151" s="335"/>
      <c r="B151" s="335"/>
      <c r="C151" s="333"/>
      <c r="D151" s="216" t="s">
        <v>27</v>
      </c>
      <c r="E151" s="283">
        <v>7.5</v>
      </c>
      <c r="F151" s="217">
        <v>12.27</v>
      </c>
      <c r="G151" s="287"/>
      <c r="H151" s="217">
        <f>+F151*0.02</f>
        <v>0.24540000000000001</v>
      </c>
      <c r="I151" s="217">
        <v>0</v>
      </c>
      <c r="J151" s="217">
        <f t="shared" si="7"/>
        <v>0</v>
      </c>
      <c r="K151" s="217">
        <f>+F151*(10.5/100)</f>
        <v>1.2883499999999999</v>
      </c>
      <c r="L151" s="296">
        <v>1.41</v>
      </c>
      <c r="M151" s="217">
        <f t="shared" si="8"/>
        <v>0</v>
      </c>
      <c r="N151" s="217">
        <f t="shared" si="16"/>
        <v>1.5337499999999999</v>
      </c>
      <c r="O151" s="217">
        <f t="shared" si="13"/>
        <v>1.41</v>
      </c>
      <c r="P151" s="217">
        <f t="shared" si="14"/>
        <v>0.12375000000000003</v>
      </c>
      <c r="Q151" s="216" t="s">
        <v>234</v>
      </c>
      <c r="R151" s="271" t="s">
        <v>235</v>
      </c>
      <c r="S151" s="285" t="s">
        <v>282</v>
      </c>
      <c r="T151" s="285" t="s">
        <v>283</v>
      </c>
    </row>
    <row r="152" spans="1:20" s="286" customFormat="1" ht="72.75" customHeight="1" x14ac:dyDescent="0.2">
      <c r="A152" s="335"/>
      <c r="B152" s="335"/>
      <c r="C152" s="336" t="s">
        <v>1317</v>
      </c>
      <c r="D152" s="274" t="s">
        <v>24</v>
      </c>
      <c r="E152" s="298">
        <v>7.5</v>
      </c>
      <c r="F152" s="299">
        <v>5.36</v>
      </c>
      <c r="G152" s="300">
        <v>0.73699999999999999</v>
      </c>
      <c r="H152" s="299">
        <v>0.14699999999999999</v>
      </c>
      <c r="I152" s="299">
        <v>0</v>
      </c>
      <c r="J152" s="299">
        <v>0.14699999999999999</v>
      </c>
      <c r="K152" s="299">
        <v>0.59</v>
      </c>
      <c r="L152" s="299">
        <v>0.59</v>
      </c>
      <c r="M152" s="299">
        <v>0</v>
      </c>
      <c r="N152" s="299">
        <v>0.73699999999999999</v>
      </c>
      <c r="O152" s="299">
        <v>0.73699999999999999</v>
      </c>
      <c r="P152" s="299">
        <v>0</v>
      </c>
      <c r="Q152" s="274"/>
      <c r="R152" s="312"/>
      <c r="S152" s="285"/>
      <c r="T152" s="285"/>
    </row>
    <row r="153" spans="1:20" s="286" customFormat="1" ht="72.75" customHeight="1" x14ac:dyDescent="0.2">
      <c r="A153" s="335"/>
      <c r="B153" s="335"/>
      <c r="C153" s="336"/>
      <c r="D153" s="274" t="s">
        <v>27</v>
      </c>
      <c r="E153" s="298">
        <v>7.5</v>
      </c>
      <c r="F153" s="299">
        <v>12.27</v>
      </c>
      <c r="G153" s="300">
        <v>1.84</v>
      </c>
      <c r="H153" s="299">
        <v>0.42899999999999999</v>
      </c>
      <c r="I153" s="299">
        <v>0</v>
      </c>
      <c r="J153" s="299">
        <v>0.42899999999999999</v>
      </c>
      <c r="K153" s="299">
        <v>1.1399999999999999</v>
      </c>
      <c r="L153" s="299">
        <v>1.41</v>
      </c>
      <c r="M153" s="299">
        <v>0</v>
      </c>
      <c r="N153" s="299">
        <v>1.84</v>
      </c>
      <c r="O153" s="299">
        <v>1.84</v>
      </c>
      <c r="P153" s="299">
        <v>0</v>
      </c>
      <c r="Q153" s="274"/>
      <c r="R153" s="312"/>
      <c r="S153" s="285"/>
      <c r="T153" s="285"/>
    </row>
    <row r="154" spans="1:20" ht="72.75" customHeight="1" x14ac:dyDescent="0.2">
      <c r="A154" s="333">
        <v>23</v>
      </c>
      <c r="B154" s="334" t="s">
        <v>1262</v>
      </c>
      <c r="C154" s="223"/>
      <c r="D154" s="216" t="s">
        <v>22</v>
      </c>
      <c r="E154" s="283">
        <f>(53.5+6.5)</f>
        <v>60</v>
      </c>
      <c r="F154" s="217">
        <f>(389.36+60.746)</f>
        <v>450.10599999999999</v>
      </c>
      <c r="G154" s="287">
        <f t="shared" si="15"/>
        <v>56.263249999999992</v>
      </c>
      <c r="H154" s="217">
        <f>+F154*0.02</f>
        <v>9.0021199999999997</v>
      </c>
      <c r="I154" s="217">
        <v>0</v>
      </c>
      <c r="J154" s="217">
        <f t="shared" si="7"/>
        <v>0</v>
      </c>
      <c r="K154" s="217">
        <f>+F154*(10.5/100)</f>
        <v>47.261129999999994</v>
      </c>
      <c r="L154" s="284">
        <v>0</v>
      </c>
      <c r="M154" s="217">
        <v>0</v>
      </c>
      <c r="N154" s="217">
        <f t="shared" si="16"/>
        <v>56.263249999999992</v>
      </c>
      <c r="O154" s="217">
        <f t="shared" si="13"/>
        <v>0</v>
      </c>
      <c r="P154" s="217">
        <f t="shared" si="14"/>
        <v>56.263249999999992</v>
      </c>
      <c r="Q154" s="217" t="s">
        <v>1156</v>
      </c>
      <c r="R154" s="216" t="s">
        <v>240</v>
      </c>
      <c r="S154" s="215" t="s">
        <v>282</v>
      </c>
      <c r="T154" s="215" t="s">
        <v>283</v>
      </c>
    </row>
    <row r="155" spans="1:20" ht="72.75" customHeight="1" x14ac:dyDescent="0.2">
      <c r="A155" s="333"/>
      <c r="B155" s="334"/>
      <c r="C155" s="223"/>
      <c r="D155" s="223" t="s">
        <v>24</v>
      </c>
      <c r="E155" s="288">
        <v>53.5</v>
      </c>
      <c r="F155" s="271">
        <v>339.35300000000001</v>
      </c>
      <c r="G155" s="287">
        <f>F155*9%</f>
        <v>30.54177</v>
      </c>
      <c r="H155" s="217"/>
      <c r="I155" s="271">
        <v>0</v>
      </c>
      <c r="J155" s="271">
        <f t="shared" si="7"/>
        <v>0</v>
      </c>
      <c r="K155" s="217"/>
      <c r="L155" s="296">
        <v>0</v>
      </c>
      <c r="M155" s="271">
        <f>(0*1000/1000000)</f>
        <v>0</v>
      </c>
      <c r="N155" s="217">
        <f>G155</f>
        <v>30.54177</v>
      </c>
      <c r="O155" s="271">
        <f>+((I155+J155)+(L155+M155))</f>
        <v>0</v>
      </c>
      <c r="P155" s="271">
        <f>+N155-O155</f>
        <v>30.54177</v>
      </c>
      <c r="Q155" s="297" t="s">
        <v>1200</v>
      </c>
      <c r="R155" s="297" t="s">
        <v>1201</v>
      </c>
      <c r="S155" s="215" t="s">
        <v>282</v>
      </c>
      <c r="T155" s="215" t="s">
        <v>283</v>
      </c>
    </row>
    <row r="156" spans="1:20" ht="72.75" customHeight="1" x14ac:dyDescent="0.2">
      <c r="A156" s="333"/>
      <c r="B156" s="334"/>
      <c r="C156" s="223"/>
      <c r="D156" s="223" t="s">
        <v>27</v>
      </c>
      <c r="E156" s="288">
        <v>53.5</v>
      </c>
      <c r="F156" s="271">
        <v>441.06599999999997</v>
      </c>
      <c r="G156" s="287">
        <f>F156*9%</f>
        <v>39.695939999999993</v>
      </c>
      <c r="H156" s="217"/>
      <c r="I156" s="271">
        <v>0</v>
      </c>
      <c r="J156" s="271">
        <f t="shared" si="7"/>
        <v>0</v>
      </c>
      <c r="K156" s="217"/>
      <c r="L156" s="296">
        <v>0</v>
      </c>
      <c r="M156" s="271">
        <f>(0*1000/1000000)</f>
        <v>0</v>
      </c>
      <c r="N156" s="217">
        <f>G156</f>
        <v>39.695939999999993</v>
      </c>
      <c r="O156" s="271">
        <f t="shared" si="13"/>
        <v>0</v>
      </c>
      <c r="P156" s="290">
        <f t="shared" si="14"/>
        <v>39.695939999999993</v>
      </c>
      <c r="Q156" s="297" t="s">
        <v>1241</v>
      </c>
      <c r="R156" s="297" t="s">
        <v>1242</v>
      </c>
      <c r="S156" s="215" t="s">
        <v>282</v>
      </c>
      <c r="T156" s="215" t="s">
        <v>283</v>
      </c>
    </row>
    <row r="157" spans="1:20" s="286" customFormat="1" ht="72.75" customHeight="1" x14ac:dyDescent="0.2">
      <c r="A157" s="335">
        <v>24</v>
      </c>
      <c r="B157" s="335" t="s">
        <v>241</v>
      </c>
      <c r="C157" s="333" t="s">
        <v>1298</v>
      </c>
      <c r="D157" s="216" t="s">
        <v>21</v>
      </c>
      <c r="E157" s="283">
        <v>23</v>
      </c>
      <c r="F157" s="217">
        <f>206207000/1000000</f>
        <v>206.20699999999999</v>
      </c>
      <c r="G157" s="287">
        <f t="shared" si="15"/>
        <v>22.682769999999998</v>
      </c>
      <c r="H157" s="217">
        <f>+F157*0.01</f>
        <v>2.0620699999999998</v>
      </c>
      <c r="I157" s="217">
        <v>0</v>
      </c>
      <c r="J157" s="217">
        <f t="shared" si="7"/>
        <v>0</v>
      </c>
      <c r="K157" s="217">
        <f>+F157*(10/100)</f>
        <v>20.620699999999999</v>
      </c>
      <c r="L157" s="284">
        <v>0</v>
      </c>
      <c r="M157" s="217">
        <v>0</v>
      </c>
      <c r="N157" s="217">
        <f t="shared" si="16"/>
        <v>22.682769999999998</v>
      </c>
      <c r="O157" s="217">
        <f t="shared" si="13"/>
        <v>0</v>
      </c>
      <c r="P157" s="217">
        <f t="shared" si="14"/>
        <v>22.682769999999998</v>
      </c>
      <c r="Q157" s="217" t="s">
        <v>1123</v>
      </c>
      <c r="R157" s="216" t="s">
        <v>209</v>
      </c>
      <c r="S157" s="285" t="s">
        <v>188</v>
      </c>
      <c r="T157" s="285"/>
    </row>
    <row r="158" spans="1:20" s="286" customFormat="1" ht="72.75" customHeight="1" x14ac:dyDescent="0.2">
      <c r="A158" s="335"/>
      <c r="B158" s="335"/>
      <c r="C158" s="333"/>
      <c r="D158" s="216" t="s">
        <v>22</v>
      </c>
      <c r="E158" s="283">
        <v>23</v>
      </c>
      <c r="F158" s="217">
        <v>215.44499999999999</v>
      </c>
      <c r="G158" s="287">
        <f t="shared" si="15"/>
        <v>26.930624999999999</v>
      </c>
      <c r="H158" s="217">
        <f>+F158*0.02</f>
        <v>4.3089000000000004</v>
      </c>
      <c r="I158" s="217">
        <v>0</v>
      </c>
      <c r="J158" s="217">
        <f t="shared" si="7"/>
        <v>0</v>
      </c>
      <c r="K158" s="217">
        <f>+F158*(10.5/100)</f>
        <v>22.621724999999998</v>
      </c>
      <c r="L158" s="284">
        <v>0</v>
      </c>
      <c r="M158" s="217">
        <v>0</v>
      </c>
      <c r="N158" s="217">
        <f t="shared" si="16"/>
        <v>26.930624999999999</v>
      </c>
      <c r="O158" s="217">
        <f t="shared" si="13"/>
        <v>0</v>
      </c>
      <c r="P158" s="217">
        <f t="shared" si="14"/>
        <v>26.930624999999999</v>
      </c>
      <c r="Q158" s="217" t="s">
        <v>1159</v>
      </c>
      <c r="R158" s="216" t="s">
        <v>242</v>
      </c>
      <c r="S158" s="285" t="s">
        <v>282</v>
      </c>
      <c r="T158" s="285" t="s">
        <v>283</v>
      </c>
    </row>
    <row r="159" spans="1:20" s="286" customFormat="1" ht="72.75" customHeight="1" x14ac:dyDescent="0.2">
      <c r="A159" s="335"/>
      <c r="B159" s="335"/>
      <c r="C159" s="333"/>
      <c r="D159" s="216" t="s">
        <v>24</v>
      </c>
      <c r="E159" s="283">
        <v>30</v>
      </c>
      <c r="F159" s="217">
        <v>18.55</v>
      </c>
      <c r="G159" s="287">
        <f>F159*9%</f>
        <v>1.6695</v>
      </c>
      <c r="H159" s="217"/>
      <c r="I159" s="217">
        <v>0</v>
      </c>
      <c r="J159" s="217">
        <f t="shared" si="7"/>
        <v>0</v>
      </c>
      <c r="K159" s="217"/>
      <c r="L159" s="284">
        <v>0</v>
      </c>
      <c r="M159" s="217">
        <v>0</v>
      </c>
      <c r="N159" s="217">
        <f t="shared" si="16"/>
        <v>0</v>
      </c>
      <c r="O159" s="217">
        <f t="shared" si="13"/>
        <v>0</v>
      </c>
      <c r="P159" s="217">
        <f t="shared" si="14"/>
        <v>0</v>
      </c>
      <c r="Q159" s="289" t="s">
        <v>1196</v>
      </c>
      <c r="R159" s="297" t="s">
        <v>1197</v>
      </c>
      <c r="S159" s="285" t="s">
        <v>188</v>
      </c>
      <c r="T159" s="285"/>
    </row>
    <row r="160" spans="1:20" s="286" customFormat="1" ht="72.75" customHeight="1" x14ac:dyDescent="0.2">
      <c r="A160" s="335"/>
      <c r="B160" s="335"/>
      <c r="C160" s="333"/>
      <c r="D160" s="223" t="s">
        <v>27</v>
      </c>
      <c r="E160" s="288">
        <v>30</v>
      </c>
      <c r="F160" s="271">
        <v>15.94</v>
      </c>
      <c r="G160" s="287">
        <f>F160*9%</f>
        <v>1.4345999999999999</v>
      </c>
      <c r="H160" s="217"/>
      <c r="I160" s="271">
        <v>0</v>
      </c>
      <c r="J160" s="271">
        <f t="shared" si="7"/>
        <v>0</v>
      </c>
      <c r="K160" s="217"/>
      <c r="L160" s="296">
        <v>0</v>
      </c>
      <c r="M160" s="271">
        <v>0</v>
      </c>
      <c r="N160" s="217">
        <f t="shared" si="16"/>
        <v>0</v>
      </c>
      <c r="O160" s="217">
        <f t="shared" si="13"/>
        <v>0</v>
      </c>
      <c r="P160" s="217">
        <f t="shared" si="14"/>
        <v>0</v>
      </c>
      <c r="Q160" s="297" t="s">
        <v>1237</v>
      </c>
      <c r="R160" s="297" t="s">
        <v>1238</v>
      </c>
      <c r="S160" s="285" t="s">
        <v>282</v>
      </c>
      <c r="T160" s="285" t="s">
        <v>283</v>
      </c>
    </row>
    <row r="161" spans="1:20" s="286" customFormat="1" ht="72.75" customHeight="1" x14ac:dyDescent="0.2">
      <c r="A161" s="335"/>
      <c r="B161" s="335"/>
      <c r="C161" s="338" t="s">
        <v>1346</v>
      </c>
      <c r="D161" s="254" t="s">
        <v>21</v>
      </c>
      <c r="E161" s="291">
        <v>30</v>
      </c>
      <c r="F161" s="270">
        <v>17.667999999999999</v>
      </c>
      <c r="G161" s="292">
        <v>1.06</v>
      </c>
      <c r="H161" s="258">
        <v>4.3999999999999997E-2</v>
      </c>
      <c r="I161" s="258">
        <v>0</v>
      </c>
      <c r="J161" s="258">
        <f t="shared" si="7"/>
        <v>0</v>
      </c>
      <c r="K161" s="258">
        <v>1.016</v>
      </c>
      <c r="L161" s="258">
        <v>0</v>
      </c>
      <c r="M161" s="258">
        <f t="shared" ref="M161:M164" si="17">(0*1000/1000000)</f>
        <v>0</v>
      </c>
      <c r="N161" s="258">
        <f t="shared" si="16"/>
        <v>1.06</v>
      </c>
      <c r="O161" s="258">
        <f t="shared" si="13"/>
        <v>0</v>
      </c>
      <c r="P161" s="258">
        <f t="shared" si="14"/>
        <v>1.06</v>
      </c>
      <c r="Q161" s="319"/>
      <c r="R161" s="319"/>
      <c r="S161" s="285"/>
      <c r="T161" s="285"/>
    </row>
    <row r="162" spans="1:20" s="286" customFormat="1" ht="72.75" customHeight="1" x14ac:dyDescent="0.2">
      <c r="A162" s="335"/>
      <c r="B162" s="335"/>
      <c r="C162" s="338"/>
      <c r="D162" s="254" t="s">
        <v>22</v>
      </c>
      <c r="E162" s="291">
        <v>30</v>
      </c>
      <c r="F162" s="270">
        <v>17.161999999999999</v>
      </c>
      <c r="G162" s="292">
        <v>1.2010000000000001</v>
      </c>
      <c r="H162" s="258">
        <v>4.3E-3</v>
      </c>
      <c r="I162" s="258">
        <v>0</v>
      </c>
      <c r="J162" s="258">
        <f t="shared" si="7"/>
        <v>0</v>
      </c>
      <c r="K162" s="258">
        <v>1.1579999999999999</v>
      </c>
      <c r="L162" s="258">
        <v>0</v>
      </c>
      <c r="M162" s="258">
        <f t="shared" si="17"/>
        <v>0</v>
      </c>
      <c r="N162" s="258">
        <f t="shared" si="16"/>
        <v>1.1622999999999999</v>
      </c>
      <c r="O162" s="258">
        <f t="shared" si="13"/>
        <v>0</v>
      </c>
      <c r="P162" s="258">
        <f t="shared" si="14"/>
        <v>1.1622999999999999</v>
      </c>
      <c r="Q162" s="319"/>
      <c r="R162" s="319"/>
      <c r="S162" s="285"/>
      <c r="T162" s="285"/>
    </row>
    <row r="163" spans="1:20" s="286" customFormat="1" ht="72.75" customHeight="1" x14ac:dyDescent="0.2">
      <c r="A163" s="335"/>
      <c r="B163" s="335"/>
      <c r="C163" s="338"/>
      <c r="D163" s="254" t="s">
        <v>24</v>
      </c>
      <c r="E163" s="291">
        <v>30</v>
      </c>
      <c r="F163" s="270">
        <v>18.547000000000001</v>
      </c>
      <c r="G163" s="292">
        <v>1.484</v>
      </c>
      <c r="H163" s="258">
        <v>4.5999999999999999E-2</v>
      </c>
      <c r="I163" s="258">
        <v>0</v>
      </c>
      <c r="J163" s="258">
        <f t="shared" si="7"/>
        <v>0</v>
      </c>
      <c r="K163" s="258">
        <v>1.4870000000000001</v>
      </c>
      <c r="L163" s="258">
        <v>0</v>
      </c>
      <c r="M163" s="258">
        <f t="shared" si="17"/>
        <v>0</v>
      </c>
      <c r="N163" s="258">
        <f t="shared" si="16"/>
        <v>1.5330000000000001</v>
      </c>
      <c r="O163" s="258">
        <f t="shared" si="13"/>
        <v>0</v>
      </c>
      <c r="P163" s="258">
        <f t="shared" si="14"/>
        <v>1.5330000000000001</v>
      </c>
      <c r="Q163" s="319"/>
      <c r="R163" s="319"/>
      <c r="S163" s="285"/>
      <c r="T163" s="285"/>
    </row>
    <row r="164" spans="1:20" s="286" customFormat="1" ht="72.75" customHeight="1" x14ac:dyDescent="0.2">
      <c r="A164" s="335"/>
      <c r="B164" s="335"/>
      <c r="C164" s="338"/>
      <c r="D164" s="265" t="s">
        <v>27</v>
      </c>
      <c r="E164" s="291">
        <v>30</v>
      </c>
      <c r="F164" s="270">
        <v>15.936999999999999</v>
      </c>
      <c r="G164" s="292">
        <v>1.4339999999999999</v>
      </c>
      <c r="H164" s="258">
        <v>0.08</v>
      </c>
      <c r="I164" s="270">
        <v>0</v>
      </c>
      <c r="J164" s="270">
        <f t="shared" si="7"/>
        <v>0</v>
      </c>
      <c r="K164" s="258">
        <v>1.355</v>
      </c>
      <c r="L164" s="270">
        <v>0</v>
      </c>
      <c r="M164" s="270">
        <f t="shared" si="17"/>
        <v>0</v>
      </c>
      <c r="N164" s="258">
        <f t="shared" si="16"/>
        <v>1.4350000000000001</v>
      </c>
      <c r="O164" s="258">
        <f t="shared" si="13"/>
        <v>0</v>
      </c>
      <c r="P164" s="258">
        <f t="shared" si="14"/>
        <v>1.4350000000000001</v>
      </c>
      <c r="Q164" s="319"/>
      <c r="R164" s="319"/>
      <c r="S164" s="285"/>
      <c r="T164" s="285"/>
    </row>
    <row r="165" spans="1:20" ht="54.75" customHeight="1" x14ac:dyDescent="0.2">
      <c r="A165" s="333">
        <v>25</v>
      </c>
      <c r="B165" s="333" t="s">
        <v>244</v>
      </c>
      <c r="C165" s="333" t="s">
        <v>1298</v>
      </c>
      <c r="D165" s="216" t="s">
        <v>21</v>
      </c>
      <c r="E165" s="283">
        <v>59.2</v>
      </c>
      <c r="F165" s="217">
        <v>390.65449999999998</v>
      </c>
      <c r="G165" s="287">
        <f>H165+K165</f>
        <v>42.971995</v>
      </c>
      <c r="H165" s="217">
        <f>+F165*0.01</f>
        <v>3.9065449999999999</v>
      </c>
      <c r="I165" s="217">
        <v>0</v>
      </c>
      <c r="J165" s="217">
        <f>((3897)*1000/1000000)</f>
        <v>3.8969999999999998</v>
      </c>
      <c r="K165" s="217">
        <f>+F165*(10/100)</f>
        <v>39.065449999999998</v>
      </c>
      <c r="L165" s="284">
        <v>0</v>
      </c>
      <c r="M165" s="217">
        <f>((10631+28334)*1000/1000000)</f>
        <v>38.965000000000003</v>
      </c>
      <c r="N165" s="217">
        <f>+H165+K165</f>
        <v>42.971995</v>
      </c>
      <c r="O165" s="217">
        <f>+((I165+J165)+(L165+M165))</f>
        <v>42.862000000000002</v>
      </c>
      <c r="P165" s="217">
        <f>+N165-O165</f>
        <v>0.10999499999999784</v>
      </c>
      <c r="Q165" s="217" t="s">
        <v>1123</v>
      </c>
      <c r="R165" s="216" t="s">
        <v>230</v>
      </c>
      <c r="S165" s="215" t="s">
        <v>282</v>
      </c>
      <c r="T165" s="215" t="s">
        <v>283</v>
      </c>
    </row>
    <row r="166" spans="1:20" ht="54.75" customHeight="1" x14ac:dyDescent="0.2">
      <c r="A166" s="333"/>
      <c r="B166" s="333"/>
      <c r="C166" s="333"/>
      <c r="D166" s="216" t="s">
        <v>22</v>
      </c>
      <c r="E166" s="283">
        <v>59.2</v>
      </c>
      <c r="F166" s="217">
        <v>349.81025</v>
      </c>
      <c r="G166" s="287">
        <f>H166+K166</f>
        <v>43.72628125</v>
      </c>
      <c r="H166" s="217">
        <f>+F166*0.02</f>
        <v>6.9962049999999998</v>
      </c>
      <c r="I166" s="217">
        <v>0</v>
      </c>
      <c r="J166" s="217">
        <v>0</v>
      </c>
      <c r="K166" s="217">
        <f>+F166*(10.5/100)</f>
        <v>36.730076249999996</v>
      </c>
      <c r="L166" s="284">
        <v>0</v>
      </c>
      <c r="M166" s="217">
        <f>(33581*1000/1000000)</f>
        <v>33.581000000000003</v>
      </c>
      <c r="N166" s="217">
        <f>+H166+K166</f>
        <v>43.72628125</v>
      </c>
      <c r="O166" s="217">
        <f>+((I166+J166)+(L166+M166))</f>
        <v>33.581000000000003</v>
      </c>
      <c r="P166" s="217">
        <f>+N166-O166</f>
        <v>10.145281249999996</v>
      </c>
      <c r="Q166" s="217" t="s">
        <v>245</v>
      </c>
      <c r="R166" s="216" t="s">
        <v>246</v>
      </c>
      <c r="S166" s="215" t="s">
        <v>282</v>
      </c>
      <c r="T166" s="215" t="s">
        <v>283</v>
      </c>
    </row>
    <row r="167" spans="1:20" ht="95.1" customHeight="1" x14ac:dyDescent="0.2">
      <c r="A167" s="333"/>
      <c r="B167" s="333"/>
      <c r="C167" s="333"/>
      <c r="D167" s="216" t="s">
        <v>24</v>
      </c>
      <c r="E167" s="283">
        <v>59.2</v>
      </c>
      <c r="F167" s="217">
        <v>380.32900000000001</v>
      </c>
      <c r="G167" s="287">
        <f>F167*9%</f>
        <v>34.229610000000001</v>
      </c>
      <c r="H167" s="217"/>
      <c r="I167" s="217">
        <v>0</v>
      </c>
      <c r="J167" s="217">
        <f>(0*1000/1000000)</f>
        <v>0</v>
      </c>
      <c r="K167" s="217"/>
      <c r="L167" s="284">
        <v>0</v>
      </c>
      <c r="M167" s="217">
        <f>(35036*1000/1000000)</f>
        <v>35.036000000000001</v>
      </c>
      <c r="N167" s="217">
        <f>G167</f>
        <v>34.229610000000001</v>
      </c>
      <c r="O167" s="217">
        <f>+((I167+J167)+(L167+M167))</f>
        <v>35.036000000000001</v>
      </c>
      <c r="P167" s="217">
        <f>+N167-O167</f>
        <v>-0.80639000000000038</v>
      </c>
      <c r="Q167" s="289" t="s">
        <v>1170</v>
      </c>
      <c r="R167" s="289" t="s">
        <v>1171</v>
      </c>
      <c r="S167" s="215" t="s">
        <v>282</v>
      </c>
      <c r="T167" s="215" t="s">
        <v>310</v>
      </c>
    </row>
    <row r="168" spans="1:20" ht="83.1" customHeight="1" x14ac:dyDescent="0.2">
      <c r="A168" s="333"/>
      <c r="B168" s="333"/>
      <c r="C168" s="333"/>
      <c r="D168" s="216" t="s">
        <v>27</v>
      </c>
      <c r="E168" s="283">
        <v>59.2</v>
      </c>
      <c r="F168" s="217">
        <v>339.94099999999997</v>
      </c>
      <c r="G168" s="287">
        <f>F168*9%</f>
        <v>30.594689999999996</v>
      </c>
      <c r="H168" s="217"/>
      <c r="I168" s="271">
        <v>0</v>
      </c>
      <c r="J168" s="217">
        <f t="shared" si="7"/>
        <v>0</v>
      </c>
      <c r="K168" s="217"/>
      <c r="L168" s="284">
        <v>0</v>
      </c>
      <c r="M168" s="217">
        <v>0</v>
      </c>
      <c r="N168" s="217">
        <f t="shared" si="16"/>
        <v>0</v>
      </c>
      <c r="O168" s="217">
        <f t="shared" si="13"/>
        <v>0</v>
      </c>
      <c r="P168" s="304">
        <f t="shared" si="14"/>
        <v>0</v>
      </c>
      <c r="Q168" s="289" t="s">
        <v>1211</v>
      </c>
      <c r="R168" s="289" t="s">
        <v>1212</v>
      </c>
      <c r="S168" s="215" t="s">
        <v>282</v>
      </c>
      <c r="T168" s="215" t="s">
        <v>283</v>
      </c>
    </row>
    <row r="169" spans="1:20" ht="54.75" customHeight="1" x14ac:dyDescent="0.2">
      <c r="A169" s="335">
        <v>26</v>
      </c>
      <c r="B169" s="335" t="s">
        <v>247</v>
      </c>
      <c r="C169" s="333" t="s">
        <v>1298</v>
      </c>
      <c r="D169" s="216" t="s">
        <v>24</v>
      </c>
      <c r="E169" s="283">
        <v>94</v>
      </c>
      <c r="F169" s="217">
        <v>3344.49</v>
      </c>
      <c r="G169" s="287">
        <f>H169+K169</f>
        <v>459.86737499999998</v>
      </c>
      <c r="H169" s="217">
        <f>+F169*0.0275</f>
        <v>91.973474999999993</v>
      </c>
      <c r="I169" s="217">
        <v>0</v>
      </c>
      <c r="J169" s="217">
        <f t="shared" si="10"/>
        <v>0</v>
      </c>
      <c r="K169" s="217">
        <f>+F169*(11/100)</f>
        <v>367.89389999999997</v>
      </c>
      <c r="L169" s="284">
        <v>0</v>
      </c>
      <c r="M169" s="217">
        <f>(0*1000/1000000)</f>
        <v>0</v>
      </c>
      <c r="N169" s="217">
        <f>+H169+K169</f>
        <v>459.86737499999998</v>
      </c>
      <c r="O169" s="217">
        <f>+((I169+J169)+(L169+M169))</f>
        <v>0</v>
      </c>
      <c r="P169" s="217">
        <f>+N169-O169</f>
        <v>459.86737499999998</v>
      </c>
      <c r="Q169" s="289" t="s">
        <v>201</v>
      </c>
      <c r="R169" s="289" t="s">
        <v>238</v>
      </c>
      <c r="S169" s="215" t="s">
        <v>188</v>
      </c>
      <c r="T169" s="215"/>
    </row>
    <row r="170" spans="1:20" ht="54.75" customHeight="1" x14ac:dyDescent="0.2">
      <c r="A170" s="335"/>
      <c r="B170" s="335"/>
      <c r="C170" s="333"/>
      <c r="D170" s="216" t="s">
        <v>27</v>
      </c>
      <c r="E170" s="283">
        <v>94</v>
      </c>
      <c r="F170" s="217">
        <v>288.5</v>
      </c>
      <c r="G170" s="287"/>
      <c r="H170" s="217">
        <f>+F170*0.035</f>
        <v>10.0975</v>
      </c>
      <c r="I170" s="217">
        <v>0</v>
      </c>
      <c r="J170" s="217">
        <f t="shared" si="10"/>
        <v>0</v>
      </c>
      <c r="K170" s="217">
        <f>+F170*(11.5/100)</f>
        <v>33.177500000000002</v>
      </c>
      <c r="L170" s="284">
        <v>0</v>
      </c>
      <c r="M170" s="217">
        <f>(0*1000/1000000)</f>
        <v>0</v>
      </c>
      <c r="N170" s="217">
        <f t="shared" si="16"/>
        <v>43.275000000000006</v>
      </c>
      <c r="O170" s="217">
        <f t="shared" si="13"/>
        <v>0</v>
      </c>
      <c r="P170" s="217">
        <f t="shared" si="14"/>
        <v>43.275000000000006</v>
      </c>
      <c r="Q170" s="289" t="s">
        <v>1157</v>
      </c>
      <c r="R170" s="289" t="s">
        <v>239</v>
      </c>
      <c r="S170" s="215" t="s">
        <v>188</v>
      </c>
      <c r="T170" s="215"/>
    </row>
    <row r="171" spans="1:20" ht="54.75" customHeight="1" x14ac:dyDescent="0.2">
      <c r="A171" s="335"/>
      <c r="B171" s="335"/>
      <c r="C171" s="336" t="s">
        <v>1427</v>
      </c>
      <c r="D171" s="254" t="s">
        <v>24</v>
      </c>
      <c r="E171" s="279">
        <v>50</v>
      </c>
      <c r="F171" s="258">
        <v>338.82299999999998</v>
      </c>
      <c r="G171" s="292">
        <v>0</v>
      </c>
      <c r="H171" s="292">
        <v>0</v>
      </c>
      <c r="I171" s="292">
        <v>0</v>
      </c>
      <c r="J171" s="292">
        <v>0</v>
      </c>
      <c r="K171" s="292">
        <v>0</v>
      </c>
      <c r="L171" s="292">
        <v>0</v>
      </c>
      <c r="M171" s="292">
        <v>0</v>
      </c>
      <c r="N171" s="292">
        <v>0</v>
      </c>
      <c r="O171" s="292">
        <v>0</v>
      </c>
      <c r="P171" s="292">
        <v>0</v>
      </c>
      <c r="Q171" s="295"/>
      <c r="R171" s="295"/>
      <c r="S171" s="215"/>
      <c r="T171" s="215"/>
    </row>
    <row r="172" spans="1:20" ht="54.75" customHeight="1" x14ac:dyDescent="0.2">
      <c r="A172" s="335"/>
      <c r="B172" s="335"/>
      <c r="C172" s="336"/>
      <c r="D172" s="254" t="s">
        <v>27</v>
      </c>
      <c r="E172" s="279">
        <v>50</v>
      </c>
      <c r="F172" s="258">
        <v>298.44099999999997</v>
      </c>
      <c r="G172" s="292">
        <v>0</v>
      </c>
      <c r="H172" s="292">
        <v>0</v>
      </c>
      <c r="I172" s="292">
        <v>0</v>
      </c>
      <c r="J172" s="292">
        <v>0</v>
      </c>
      <c r="K172" s="292">
        <v>0</v>
      </c>
      <c r="L172" s="292">
        <v>0</v>
      </c>
      <c r="M172" s="292">
        <v>0</v>
      </c>
      <c r="N172" s="292">
        <v>0</v>
      </c>
      <c r="O172" s="292">
        <v>0</v>
      </c>
      <c r="P172" s="292">
        <v>0</v>
      </c>
      <c r="Q172" s="295"/>
      <c r="R172" s="295"/>
      <c r="S172" s="215"/>
      <c r="T172" s="215"/>
    </row>
    <row r="173" spans="1:20" ht="54.75" customHeight="1" x14ac:dyDescent="0.2">
      <c r="A173" s="333">
        <v>27</v>
      </c>
      <c r="B173" s="333" t="s">
        <v>248</v>
      </c>
      <c r="C173" s="333" t="s">
        <v>1298</v>
      </c>
      <c r="D173" s="216" t="s">
        <v>21</v>
      </c>
      <c r="E173" s="283">
        <v>85</v>
      </c>
      <c r="F173" s="217">
        <v>0</v>
      </c>
      <c r="G173" s="287">
        <f t="shared" si="15"/>
        <v>0</v>
      </c>
      <c r="H173" s="217">
        <f>+F173*0.01</f>
        <v>0</v>
      </c>
      <c r="I173" s="217">
        <v>0</v>
      </c>
      <c r="J173" s="217">
        <f t="shared" si="10"/>
        <v>0</v>
      </c>
      <c r="K173" s="217">
        <f>+F173*(10/100)</f>
        <v>0</v>
      </c>
      <c r="L173" s="284">
        <v>0</v>
      </c>
      <c r="M173" s="217">
        <v>0</v>
      </c>
      <c r="N173" s="217">
        <f t="shared" si="16"/>
        <v>0</v>
      </c>
      <c r="O173" s="217">
        <f t="shared" si="13"/>
        <v>0</v>
      </c>
      <c r="P173" s="217">
        <f t="shared" si="14"/>
        <v>0</v>
      </c>
      <c r="Q173" s="217" t="s">
        <v>1123</v>
      </c>
      <c r="R173" s="216" t="s">
        <v>1142</v>
      </c>
      <c r="S173" s="215" t="s">
        <v>1141</v>
      </c>
      <c r="T173" s="215"/>
    </row>
    <row r="174" spans="1:20" ht="54.75" customHeight="1" x14ac:dyDescent="0.2">
      <c r="A174" s="333"/>
      <c r="B174" s="333"/>
      <c r="C174" s="333"/>
      <c r="D174" s="216" t="s">
        <v>22</v>
      </c>
      <c r="E174" s="283">
        <v>85</v>
      </c>
      <c r="F174" s="217">
        <v>425.05</v>
      </c>
      <c r="G174" s="287">
        <f>H174+K174</f>
        <v>53.131249999999994</v>
      </c>
      <c r="H174" s="217">
        <f>+F174*0.02</f>
        <v>8.5010000000000012</v>
      </c>
      <c r="I174" s="217">
        <v>0</v>
      </c>
      <c r="J174" s="217">
        <f t="shared" si="10"/>
        <v>0</v>
      </c>
      <c r="K174" s="217">
        <f>+F174*(10.5/100)</f>
        <v>44.630249999999997</v>
      </c>
      <c r="L174" s="284">
        <v>0</v>
      </c>
      <c r="M174" s="217">
        <v>0</v>
      </c>
      <c r="N174" s="217">
        <f>+H174+K174</f>
        <v>53.131249999999994</v>
      </c>
      <c r="O174" s="217">
        <f>+((I174+J174)+(L174+M174))</f>
        <v>0</v>
      </c>
      <c r="P174" s="217">
        <f>+N174-O174</f>
        <v>53.131249999999994</v>
      </c>
      <c r="Q174" s="217" t="s">
        <v>1160</v>
      </c>
      <c r="R174" s="216" t="s">
        <v>250</v>
      </c>
      <c r="S174" s="215" t="s">
        <v>282</v>
      </c>
      <c r="T174" s="215" t="s">
        <v>283</v>
      </c>
    </row>
    <row r="175" spans="1:20" ht="54.75" customHeight="1" x14ac:dyDescent="0.2">
      <c r="A175" s="333"/>
      <c r="B175" s="333"/>
      <c r="C175" s="333"/>
      <c r="D175" s="223" t="s">
        <v>24</v>
      </c>
      <c r="E175" s="320">
        <v>85</v>
      </c>
      <c r="F175" s="217">
        <v>471.02800000000002</v>
      </c>
      <c r="G175" s="287">
        <f>F175*9%</f>
        <v>42.392519999999998</v>
      </c>
      <c r="H175" s="217"/>
      <c r="I175" s="271">
        <v>0</v>
      </c>
      <c r="J175" s="271">
        <f t="shared" si="10"/>
        <v>0</v>
      </c>
      <c r="K175" s="217"/>
      <c r="L175" s="296">
        <v>0</v>
      </c>
      <c r="M175" s="271">
        <f>(0*1000/1000000)</f>
        <v>0</v>
      </c>
      <c r="N175" s="217">
        <f>G175</f>
        <v>42.392519999999998</v>
      </c>
      <c r="O175" s="271">
        <f>+((I175+J175)+(L175+M175))</f>
        <v>0</v>
      </c>
      <c r="P175" s="271">
        <f>+N175-O175</f>
        <v>42.392519999999998</v>
      </c>
      <c r="Q175" s="297" t="s">
        <v>1204</v>
      </c>
      <c r="R175" s="289" t="s">
        <v>251</v>
      </c>
      <c r="S175" s="215" t="s">
        <v>282</v>
      </c>
      <c r="T175" s="215" t="s">
        <v>283</v>
      </c>
    </row>
    <row r="176" spans="1:20" ht="54.75" customHeight="1" x14ac:dyDescent="0.2">
      <c r="A176" s="333"/>
      <c r="B176" s="333"/>
      <c r="C176" s="333"/>
      <c r="D176" s="223" t="s">
        <v>27</v>
      </c>
      <c r="E176" s="223">
        <v>85</v>
      </c>
      <c r="F176" s="271">
        <v>488.71600000000001</v>
      </c>
      <c r="G176" s="287">
        <f>F176*9%</f>
        <v>43.984439999999999</v>
      </c>
      <c r="H176" s="217"/>
      <c r="I176" s="271">
        <v>0</v>
      </c>
      <c r="J176" s="271">
        <f t="shared" si="10"/>
        <v>0</v>
      </c>
      <c r="K176" s="217"/>
      <c r="L176" s="296">
        <v>0</v>
      </c>
      <c r="M176" s="271">
        <f>(0*1000/1000000)</f>
        <v>0</v>
      </c>
      <c r="N176" s="217">
        <f>G176</f>
        <v>43.984439999999999</v>
      </c>
      <c r="O176" s="271">
        <f>+((I176+J176)+(L176+M176))</f>
        <v>0</v>
      </c>
      <c r="P176" s="290">
        <f>+N176-O176</f>
        <v>43.984439999999999</v>
      </c>
      <c r="Q176" s="297" t="s">
        <v>1245</v>
      </c>
      <c r="R176" s="297" t="s">
        <v>1246</v>
      </c>
      <c r="S176" s="215" t="s">
        <v>282</v>
      </c>
      <c r="T176" s="215" t="s">
        <v>283</v>
      </c>
    </row>
    <row r="177" spans="1:20" ht="54.75" customHeight="1" x14ac:dyDescent="0.2">
      <c r="A177" s="335">
        <v>28</v>
      </c>
      <c r="B177" s="335" t="s">
        <v>1263</v>
      </c>
      <c r="C177" s="333" t="s">
        <v>1298</v>
      </c>
      <c r="D177" s="216" t="s">
        <v>22</v>
      </c>
      <c r="E177" s="283">
        <v>85</v>
      </c>
      <c r="F177" s="217">
        <v>0</v>
      </c>
      <c r="G177" s="287">
        <f t="shared" si="15"/>
        <v>0</v>
      </c>
      <c r="H177" s="217">
        <f>+F177*0.02</f>
        <v>0</v>
      </c>
      <c r="I177" s="217">
        <v>0</v>
      </c>
      <c r="J177" s="217">
        <f t="shared" si="10"/>
        <v>0</v>
      </c>
      <c r="K177" s="217">
        <f>+F177*(10.5/100)</f>
        <v>0</v>
      </c>
      <c r="L177" s="284">
        <v>0</v>
      </c>
      <c r="M177" s="217">
        <v>0</v>
      </c>
      <c r="N177" s="217">
        <f t="shared" si="16"/>
        <v>0</v>
      </c>
      <c r="O177" s="217">
        <f t="shared" si="13"/>
        <v>0</v>
      </c>
      <c r="P177" s="217">
        <f t="shared" si="14"/>
        <v>0</v>
      </c>
      <c r="Q177" s="217" t="s">
        <v>1164</v>
      </c>
      <c r="R177" s="216" t="s">
        <v>249</v>
      </c>
      <c r="S177" s="215" t="s">
        <v>1141</v>
      </c>
      <c r="T177" s="215"/>
    </row>
    <row r="178" spans="1:20" s="286" customFormat="1" ht="54.75" customHeight="1" x14ac:dyDescent="0.2">
      <c r="A178" s="335"/>
      <c r="B178" s="335"/>
      <c r="C178" s="333"/>
      <c r="D178" s="223" t="s">
        <v>24</v>
      </c>
      <c r="E178" s="223">
        <v>92.34</v>
      </c>
      <c r="F178" s="271">
        <v>234.176748</v>
      </c>
      <c r="G178" s="287">
        <f>F178*9%</f>
        <v>21.075907319999999</v>
      </c>
      <c r="H178" s="217"/>
      <c r="I178" s="271">
        <v>0</v>
      </c>
      <c r="J178" s="271">
        <f t="shared" si="10"/>
        <v>0</v>
      </c>
      <c r="K178" s="217"/>
      <c r="L178" s="296">
        <v>0</v>
      </c>
      <c r="M178" s="271">
        <v>0</v>
      </c>
      <c r="N178" s="217">
        <f>G178</f>
        <v>21.075907319999999</v>
      </c>
      <c r="O178" s="271">
        <f t="shared" si="13"/>
        <v>0</v>
      </c>
      <c r="P178" s="271">
        <f t="shared" si="14"/>
        <v>21.075907319999999</v>
      </c>
      <c r="Q178" s="297" t="s">
        <v>1189</v>
      </c>
      <c r="R178" s="297" t="s">
        <v>1190</v>
      </c>
      <c r="S178" s="285" t="s">
        <v>282</v>
      </c>
      <c r="T178" s="285" t="s">
        <v>283</v>
      </c>
    </row>
    <row r="179" spans="1:20" s="286" customFormat="1" ht="54.75" customHeight="1" x14ac:dyDescent="0.2">
      <c r="A179" s="335"/>
      <c r="B179" s="335"/>
      <c r="C179" s="333"/>
      <c r="D179" s="223" t="s">
        <v>27</v>
      </c>
      <c r="E179" s="223">
        <v>92.34</v>
      </c>
      <c r="F179" s="271">
        <v>238.10669100000001</v>
      </c>
      <c r="G179" s="287">
        <f>F179*9%</f>
        <v>21.429602190000001</v>
      </c>
      <c r="H179" s="217"/>
      <c r="I179" s="271">
        <v>0</v>
      </c>
      <c r="J179" s="271">
        <f t="shared" si="10"/>
        <v>0</v>
      </c>
      <c r="K179" s="217"/>
      <c r="L179" s="296">
        <v>0</v>
      </c>
      <c r="M179" s="271">
        <f>(0*1000/1000000)</f>
        <v>0</v>
      </c>
      <c r="N179" s="217">
        <f>G179</f>
        <v>21.429602190000001</v>
      </c>
      <c r="O179" s="271">
        <f t="shared" si="13"/>
        <v>0</v>
      </c>
      <c r="P179" s="290">
        <f t="shared" si="14"/>
        <v>21.429602190000001</v>
      </c>
      <c r="Q179" s="297" t="s">
        <v>1229</v>
      </c>
      <c r="R179" s="297" t="s">
        <v>1230</v>
      </c>
      <c r="S179" s="285" t="s">
        <v>282</v>
      </c>
      <c r="T179" s="285" t="s">
        <v>283</v>
      </c>
    </row>
    <row r="180" spans="1:20" s="286" customFormat="1" ht="54.75" customHeight="1" x14ac:dyDescent="0.2">
      <c r="A180" s="335"/>
      <c r="B180" s="335"/>
      <c r="C180" s="338" t="s">
        <v>1362</v>
      </c>
      <c r="D180" s="265" t="s">
        <v>21</v>
      </c>
      <c r="E180" s="265">
        <v>85</v>
      </c>
      <c r="F180" s="270">
        <v>285.12700000000001</v>
      </c>
      <c r="G180" s="292">
        <v>25.661000000000001</v>
      </c>
      <c r="H180" s="258"/>
      <c r="I180" s="270">
        <v>0</v>
      </c>
      <c r="J180" s="270">
        <v>0</v>
      </c>
      <c r="K180" s="258"/>
      <c r="L180" s="321">
        <v>0</v>
      </c>
      <c r="M180" s="270">
        <v>0</v>
      </c>
      <c r="N180" s="258">
        <v>25.661000000000001</v>
      </c>
      <c r="O180" s="258">
        <v>25.661000000000001</v>
      </c>
      <c r="P180" s="294">
        <v>0</v>
      </c>
      <c r="Q180" s="319"/>
      <c r="R180" s="319"/>
      <c r="S180" s="285"/>
      <c r="T180" s="285"/>
    </row>
    <row r="181" spans="1:20" s="286" customFormat="1" ht="54.75" customHeight="1" x14ac:dyDescent="0.2">
      <c r="A181" s="335"/>
      <c r="B181" s="335"/>
      <c r="C181" s="338"/>
      <c r="D181" s="254" t="s">
        <v>22</v>
      </c>
      <c r="E181" s="265">
        <v>85</v>
      </c>
      <c r="F181" s="270">
        <v>276.25799999999998</v>
      </c>
      <c r="G181" s="292">
        <v>24.863</v>
      </c>
      <c r="H181" s="258"/>
      <c r="I181" s="270">
        <v>0</v>
      </c>
      <c r="J181" s="270">
        <v>0</v>
      </c>
      <c r="K181" s="258"/>
      <c r="L181" s="321">
        <v>0</v>
      </c>
      <c r="M181" s="270">
        <v>1.554</v>
      </c>
      <c r="N181" s="258">
        <v>23.309000000000001</v>
      </c>
      <c r="O181" s="258">
        <v>23.309000000000001</v>
      </c>
      <c r="P181" s="294">
        <v>0</v>
      </c>
      <c r="Q181" s="319"/>
      <c r="R181" s="319"/>
      <c r="S181" s="285"/>
      <c r="T181" s="285"/>
    </row>
    <row r="182" spans="1:20" s="286" customFormat="1" ht="54.75" customHeight="1" x14ac:dyDescent="0.2">
      <c r="A182" s="335"/>
      <c r="B182" s="335"/>
      <c r="C182" s="338"/>
      <c r="D182" s="265" t="s">
        <v>24</v>
      </c>
      <c r="E182" s="265">
        <v>92.34</v>
      </c>
      <c r="F182" s="270">
        <v>247.98</v>
      </c>
      <c r="G182" s="292">
        <v>22.318000000000001</v>
      </c>
      <c r="H182" s="258"/>
      <c r="I182" s="270">
        <v>0</v>
      </c>
      <c r="J182" s="270">
        <v>0.16900000000000001</v>
      </c>
      <c r="K182" s="258"/>
      <c r="L182" s="321">
        <v>0</v>
      </c>
      <c r="M182" s="270">
        <v>1.653</v>
      </c>
      <c r="N182" s="258">
        <v>20.495999999999999</v>
      </c>
      <c r="O182" s="258">
        <v>20.495999999999999</v>
      </c>
      <c r="P182" s="294">
        <v>0</v>
      </c>
      <c r="Q182" s="319"/>
      <c r="R182" s="319"/>
      <c r="S182" s="285"/>
      <c r="T182" s="285"/>
    </row>
    <row r="183" spans="1:20" s="286" customFormat="1" ht="54.75" customHeight="1" x14ac:dyDescent="0.2">
      <c r="A183" s="335"/>
      <c r="B183" s="335"/>
      <c r="C183" s="338"/>
      <c r="D183" s="265" t="s">
        <v>27</v>
      </c>
      <c r="E183" s="265">
        <v>92.34</v>
      </c>
      <c r="F183" s="270">
        <v>264.95499999999998</v>
      </c>
      <c r="G183" s="292">
        <v>23.856000000000002</v>
      </c>
      <c r="H183" s="258"/>
      <c r="I183" s="270">
        <v>0</v>
      </c>
      <c r="J183" s="270">
        <v>0.38</v>
      </c>
      <c r="K183" s="258"/>
      <c r="L183" s="321">
        <v>0</v>
      </c>
      <c r="M183" s="270">
        <v>3.8380000000000001</v>
      </c>
      <c r="N183" s="258">
        <v>19.628</v>
      </c>
      <c r="O183" s="258">
        <v>19.628</v>
      </c>
      <c r="P183" s="294">
        <v>0</v>
      </c>
      <c r="Q183" s="319"/>
      <c r="R183" s="319"/>
      <c r="S183" s="285"/>
      <c r="T183" s="285"/>
    </row>
    <row r="184" spans="1:20" ht="54.75" customHeight="1" x14ac:dyDescent="0.2">
      <c r="A184" s="333">
        <v>29</v>
      </c>
      <c r="B184" s="333" t="s">
        <v>253</v>
      </c>
      <c r="C184" s="333" t="s">
        <v>1298</v>
      </c>
      <c r="D184" s="216" t="s">
        <v>21</v>
      </c>
      <c r="E184" s="283">
        <v>30</v>
      </c>
      <c r="F184" s="217">
        <v>167.471</v>
      </c>
      <c r="G184" s="287">
        <f t="shared" si="15"/>
        <v>18.421810000000001</v>
      </c>
      <c r="H184" s="217">
        <f>+F184*0.01</f>
        <v>1.6747100000000001</v>
      </c>
      <c r="I184" s="217">
        <v>0</v>
      </c>
      <c r="J184" s="217">
        <f t="shared" si="10"/>
        <v>0</v>
      </c>
      <c r="K184" s="217">
        <f>+F184*(10/100)</f>
        <v>16.7471</v>
      </c>
      <c r="L184" s="284">
        <v>0</v>
      </c>
      <c r="M184" s="217">
        <v>0</v>
      </c>
      <c r="N184" s="217">
        <f t="shared" si="16"/>
        <v>18.421810000000001</v>
      </c>
      <c r="O184" s="217">
        <f t="shared" si="13"/>
        <v>0</v>
      </c>
      <c r="P184" s="217">
        <f t="shared" si="14"/>
        <v>18.421810000000001</v>
      </c>
      <c r="Q184" s="217" t="s">
        <v>1123</v>
      </c>
      <c r="R184" s="216" t="s">
        <v>254</v>
      </c>
      <c r="S184" s="215" t="s">
        <v>282</v>
      </c>
      <c r="T184" s="215" t="s">
        <v>283</v>
      </c>
    </row>
    <row r="185" spans="1:20" ht="54.75" customHeight="1" x14ac:dyDescent="0.2">
      <c r="A185" s="333"/>
      <c r="B185" s="333"/>
      <c r="C185" s="333"/>
      <c r="D185" s="216" t="s">
        <v>22</v>
      </c>
      <c r="E185" s="283">
        <v>30</v>
      </c>
      <c r="F185" s="217">
        <v>298.79000000000002</v>
      </c>
      <c r="G185" s="287">
        <f t="shared" si="15"/>
        <v>37.348750000000003</v>
      </c>
      <c r="H185" s="217">
        <f>+F185*0.02</f>
        <v>5.9758000000000004</v>
      </c>
      <c r="I185" s="217">
        <v>0</v>
      </c>
      <c r="J185" s="217">
        <f t="shared" si="10"/>
        <v>0</v>
      </c>
      <c r="K185" s="217">
        <f>+F185*(10.5/100)</f>
        <v>31.372949999999999</v>
      </c>
      <c r="L185" s="284">
        <v>0</v>
      </c>
      <c r="M185" s="217">
        <v>0</v>
      </c>
      <c r="N185" s="217">
        <f t="shared" si="16"/>
        <v>37.348750000000003</v>
      </c>
      <c r="O185" s="217">
        <f t="shared" si="13"/>
        <v>0</v>
      </c>
      <c r="P185" s="217">
        <f t="shared" si="14"/>
        <v>37.348750000000003</v>
      </c>
      <c r="Q185" s="217" t="s">
        <v>1161</v>
      </c>
      <c r="R185" s="216" t="s">
        <v>1162</v>
      </c>
      <c r="S185" s="215" t="s">
        <v>282</v>
      </c>
      <c r="T185" s="215" t="s">
        <v>283</v>
      </c>
    </row>
    <row r="186" spans="1:20" ht="54.75" customHeight="1" x14ac:dyDescent="0.2">
      <c r="A186" s="333"/>
      <c r="B186" s="333"/>
      <c r="C186" s="333"/>
      <c r="D186" s="223" t="s">
        <v>24</v>
      </c>
      <c r="E186" s="288">
        <v>30</v>
      </c>
      <c r="F186" s="271">
        <v>197.14599999999999</v>
      </c>
      <c r="G186" s="287">
        <f>F186*9%</f>
        <v>17.743139999999997</v>
      </c>
      <c r="H186" s="217"/>
      <c r="I186" s="271">
        <v>0</v>
      </c>
      <c r="J186" s="271">
        <f t="shared" si="10"/>
        <v>0</v>
      </c>
      <c r="K186" s="217"/>
      <c r="L186" s="296">
        <v>0</v>
      </c>
      <c r="M186" s="271">
        <v>0</v>
      </c>
      <c r="N186" s="217">
        <f>G186</f>
        <v>17.743139999999997</v>
      </c>
      <c r="O186" s="271">
        <f t="shared" si="13"/>
        <v>0</v>
      </c>
      <c r="P186" s="271">
        <f t="shared" si="14"/>
        <v>17.743139999999997</v>
      </c>
      <c r="Q186" s="297" t="s">
        <v>1178</v>
      </c>
      <c r="R186" s="297" t="s">
        <v>1179</v>
      </c>
      <c r="S186" s="215" t="s">
        <v>282</v>
      </c>
      <c r="T186" s="215" t="s">
        <v>283</v>
      </c>
    </row>
    <row r="187" spans="1:20" ht="54.75" customHeight="1" x14ac:dyDescent="0.2">
      <c r="A187" s="333"/>
      <c r="B187" s="333"/>
      <c r="C187" s="333"/>
      <c r="D187" s="223" t="s">
        <v>27</v>
      </c>
      <c r="E187" s="288">
        <v>30</v>
      </c>
      <c r="F187" s="271">
        <v>174.73500000000001</v>
      </c>
      <c r="G187" s="287">
        <f>F187*9%</f>
        <v>15.726150000000001</v>
      </c>
      <c r="H187" s="217"/>
      <c r="I187" s="271">
        <v>0</v>
      </c>
      <c r="J187" s="271">
        <f t="shared" si="10"/>
        <v>0</v>
      </c>
      <c r="K187" s="217"/>
      <c r="L187" s="296">
        <v>0</v>
      </c>
      <c r="M187" s="271">
        <v>0</v>
      </c>
      <c r="N187" s="217">
        <f>G187</f>
        <v>15.726150000000001</v>
      </c>
      <c r="O187" s="271">
        <f t="shared" si="13"/>
        <v>0</v>
      </c>
      <c r="P187" s="290">
        <f t="shared" si="14"/>
        <v>15.726150000000001</v>
      </c>
      <c r="Q187" s="297" t="s">
        <v>1218</v>
      </c>
      <c r="R187" s="297" t="s">
        <v>1219</v>
      </c>
      <c r="S187" s="215" t="s">
        <v>282</v>
      </c>
      <c r="T187" s="215" t="s">
        <v>283</v>
      </c>
    </row>
    <row r="188" spans="1:20" s="286" customFormat="1" ht="54.75" customHeight="1" x14ac:dyDescent="0.2">
      <c r="A188" s="335">
        <v>30</v>
      </c>
      <c r="B188" s="335" t="s">
        <v>256</v>
      </c>
      <c r="C188" s="333" t="s">
        <v>1298</v>
      </c>
      <c r="D188" s="216" t="s">
        <v>21</v>
      </c>
      <c r="E188" s="283">
        <v>25</v>
      </c>
      <c r="F188" s="217">
        <v>81.63</v>
      </c>
      <c r="G188" s="287">
        <f>H188+K188</f>
        <v>8.9793000000000003</v>
      </c>
      <c r="H188" s="217">
        <f>+F188*0.01</f>
        <v>0.81630000000000003</v>
      </c>
      <c r="I188" s="217">
        <v>0</v>
      </c>
      <c r="J188" s="217">
        <f t="shared" si="10"/>
        <v>0</v>
      </c>
      <c r="K188" s="217">
        <f>+F188*(10/100)</f>
        <v>8.1630000000000003</v>
      </c>
      <c r="L188" s="284">
        <v>0</v>
      </c>
      <c r="M188" s="217">
        <v>0</v>
      </c>
      <c r="N188" s="217">
        <f>+H188+K188</f>
        <v>8.9793000000000003</v>
      </c>
      <c r="O188" s="217">
        <f>+((I188+J188)+(L188+M188))</f>
        <v>0</v>
      </c>
      <c r="P188" s="217">
        <f>+N188-O188</f>
        <v>8.9793000000000003</v>
      </c>
      <c r="Q188" s="217" t="s">
        <v>1123</v>
      </c>
      <c r="R188" s="216" t="s">
        <v>209</v>
      </c>
      <c r="S188" s="285" t="s">
        <v>188</v>
      </c>
      <c r="T188" s="285"/>
    </row>
    <row r="189" spans="1:20" s="286" customFormat="1" ht="54.75" customHeight="1" x14ac:dyDescent="0.2">
      <c r="A189" s="335"/>
      <c r="B189" s="335"/>
      <c r="C189" s="333"/>
      <c r="D189" s="216" t="s">
        <v>22</v>
      </c>
      <c r="E189" s="283">
        <v>25</v>
      </c>
      <c r="F189" s="217">
        <v>70.379000000000005</v>
      </c>
      <c r="G189" s="287">
        <f>H189+K189</f>
        <v>8.7973750000000006</v>
      </c>
      <c r="H189" s="217">
        <f>+F189*0.02</f>
        <v>1.4075800000000001</v>
      </c>
      <c r="I189" s="217">
        <v>0</v>
      </c>
      <c r="J189" s="217">
        <f t="shared" si="10"/>
        <v>0</v>
      </c>
      <c r="K189" s="217">
        <f>+F189*(10.5/100)</f>
        <v>7.3897950000000003</v>
      </c>
      <c r="L189" s="284">
        <v>0</v>
      </c>
      <c r="M189" s="217">
        <f>(0*1000/1000000)</f>
        <v>0</v>
      </c>
      <c r="N189" s="217">
        <f>+H189+K189</f>
        <v>8.7973750000000006</v>
      </c>
      <c r="O189" s="217">
        <f>+((I189+J189)+(L189+M189))</f>
        <v>0</v>
      </c>
      <c r="P189" s="217">
        <f>+N189-O189</f>
        <v>8.7973750000000006</v>
      </c>
      <c r="Q189" s="217" t="s">
        <v>1157</v>
      </c>
      <c r="R189" s="216" t="s">
        <v>187</v>
      </c>
      <c r="S189" s="285" t="s">
        <v>188</v>
      </c>
      <c r="T189" s="285"/>
    </row>
    <row r="190" spans="1:20" s="286" customFormat="1" ht="54.75" customHeight="1" x14ac:dyDescent="0.2">
      <c r="A190" s="335"/>
      <c r="B190" s="335"/>
      <c r="C190" s="333"/>
      <c r="D190" s="216" t="s">
        <v>24</v>
      </c>
      <c r="E190" s="216">
        <v>25</v>
      </c>
      <c r="F190" s="217">
        <v>587.24</v>
      </c>
      <c r="G190" s="287">
        <f t="shared" si="15"/>
        <v>80.745500000000007</v>
      </c>
      <c r="H190" s="217">
        <f>+F190*0.0275</f>
        <v>16.149100000000001</v>
      </c>
      <c r="I190" s="217">
        <v>0</v>
      </c>
      <c r="J190" s="217">
        <f t="shared" si="10"/>
        <v>0</v>
      </c>
      <c r="K190" s="217">
        <f>+F190*(11/100)</f>
        <v>64.596400000000003</v>
      </c>
      <c r="L190" s="284">
        <v>0</v>
      </c>
      <c r="M190" s="217">
        <f>(0*1000/1000000)</f>
        <v>0</v>
      </c>
      <c r="N190" s="217">
        <f t="shared" si="16"/>
        <v>80.745500000000007</v>
      </c>
      <c r="O190" s="217">
        <f t="shared" si="13"/>
        <v>0</v>
      </c>
      <c r="P190" s="217">
        <f t="shared" si="14"/>
        <v>80.745500000000007</v>
      </c>
      <c r="Q190" s="289" t="s">
        <v>1210</v>
      </c>
      <c r="R190" s="289" t="s">
        <v>255</v>
      </c>
      <c r="S190" s="285" t="s">
        <v>282</v>
      </c>
      <c r="T190" s="285" t="s">
        <v>283</v>
      </c>
    </row>
    <row r="191" spans="1:20" s="286" customFormat="1" ht="54.75" customHeight="1" x14ac:dyDescent="0.2">
      <c r="A191" s="335"/>
      <c r="B191" s="335"/>
      <c r="C191" s="333"/>
      <c r="D191" s="216" t="s">
        <v>27</v>
      </c>
      <c r="E191" s="216">
        <v>25</v>
      </c>
      <c r="F191" s="217">
        <v>55.07</v>
      </c>
      <c r="G191" s="287"/>
      <c r="H191" s="217">
        <f>+F191*0.035</f>
        <v>1.9274500000000001</v>
      </c>
      <c r="I191" s="217">
        <v>0</v>
      </c>
      <c r="J191" s="217">
        <f t="shared" si="10"/>
        <v>0</v>
      </c>
      <c r="K191" s="217">
        <f>+F191*(11.5/100)</f>
        <v>6.3330500000000001</v>
      </c>
      <c r="L191" s="284">
        <v>0</v>
      </c>
      <c r="M191" s="217">
        <f>(0*1000/1000000)</f>
        <v>0</v>
      </c>
      <c r="N191" s="217">
        <f>+H191+K191</f>
        <v>8.2605000000000004</v>
      </c>
      <c r="O191" s="217">
        <f>+((I191+J191)+(L191+M191))</f>
        <v>0</v>
      </c>
      <c r="P191" s="217">
        <f>+N191-O191</f>
        <v>8.2605000000000004</v>
      </c>
      <c r="Q191" s="289" t="s">
        <v>1254</v>
      </c>
      <c r="R191" s="289" t="s">
        <v>239</v>
      </c>
      <c r="S191" s="285" t="s">
        <v>188</v>
      </c>
      <c r="T191" s="285"/>
    </row>
    <row r="192" spans="1:20" s="286" customFormat="1" ht="54.75" customHeight="1" x14ac:dyDescent="0.2">
      <c r="A192" s="335"/>
      <c r="B192" s="335"/>
      <c r="C192" s="338" t="s">
        <v>1345</v>
      </c>
      <c r="D192" s="338"/>
      <c r="E192" s="338"/>
      <c r="F192" s="342" t="s">
        <v>1339</v>
      </c>
      <c r="G192" s="342"/>
      <c r="H192" s="342"/>
      <c r="I192" s="342"/>
      <c r="J192" s="342"/>
      <c r="K192" s="342"/>
      <c r="L192" s="342"/>
      <c r="M192" s="342"/>
      <c r="N192" s="342"/>
      <c r="O192" s="342"/>
      <c r="P192" s="342"/>
      <c r="Q192" s="342"/>
      <c r="R192" s="342"/>
      <c r="S192" s="285"/>
      <c r="T192" s="285"/>
    </row>
    <row r="193" spans="1:21" s="286" customFormat="1" ht="54.75" customHeight="1" x14ac:dyDescent="0.2">
      <c r="A193" s="335"/>
      <c r="B193" s="335"/>
      <c r="C193" s="338"/>
      <c r="D193" s="338"/>
      <c r="E193" s="338"/>
      <c r="F193" s="342"/>
      <c r="G193" s="342"/>
      <c r="H193" s="342"/>
      <c r="I193" s="342"/>
      <c r="J193" s="342"/>
      <c r="K193" s="342"/>
      <c r="L193" s="342"/>
      <c r="M193" s="342"/>
      <c r="N193" s="342"/>
      <c r="O193" s="342"/>
      <c r="P193" s="342"/>
      <c r="Q193" s="342"/>
      <c r="R193" s="342"/>
      <c r="S193" s="285"/>
      <c r="T193" s="285"/>
    </row>
    <row r="194" spans="1:21" ht="54.75" customHeight="1" x14ac:dyDescent="0.2">
      <c r="A194" s="335">
        <v>31</v>
      </c>
      <c r="B194" s="335" t="s">
        <v>260</v>
      </c>
      <c r="C194" s="335" t="s">
        <v>1298</v>
      </c>
      <c r="D194" s="216" t="s">
        <v>21</v>
      </c>
      <c r="E194" s="283">
        <v>15</v>
      </c>
      <c r="F194" s="217">
        <v>0</v>
      </c>
      <c r="G194" s="287">
        <f t="shared" si="15"/>
        <v>0</v>
      </c>
      <c r="H194" s="217">
        <f>+F194*0.01</f>
        <v>0</v>
      </c>
      <c r="I194" s="217">
        <v>0</v>
      </c>
      <c r="J194" s="217">
        <f t="shared" si="10"/>
        <v>0</v>
      </c>
      <c r="K194" s="217">
        <f>+F194*(10/100)</f>
        <v>0</v>
      </c>
      <c r="L194" s="284">
        <v>0</v>
      </c>
      <c r="M194" s="217">
        <v>0</v>
      </c>
      <c r="N194" s="217">
        <f t="shared" si="16"/>
        <v>0</v>
      </c>
      <c r="O194" s="217">
        <f t="shared" si="13"/>
        <v>0</v>
      </c>
      <c r="P194" s="217">
        <f t="shared" si="14"/>
        <v>0</v>
      </c>
      <c r="Q194" s="217" t="s">
        <v>261</v>
      </c>
      <c r="R194" s="216" t="s">
        <v>262</v>
      </c>
      <c r="S194" s="215" t="s">
        <v>1141</v>
      </c>
      <c r="T194" s="215"/>
    </row>
    <row r="195" spans="1:21" ht="54.75" customHeight="1" x14ac:dyDescent="0.2">
      <c r="A195" s="335"/>
      <c r="B195" s="335"/>
      <c r="C195" s="335"/>
      <c r="D195" s="216" t="s">
        <v>22</v>
      </c>
      <c r="E195" s="283">
        <v>15</v>
      </c>
      <c r="F195" s="217">
        <v>0</v>
      </c>
      <c r="G195" s="287">
        <f>H195+K195</f>
        <v>0</v>
      </c>
      <c r="H195" s="217">
        <f>+F195*0.02</f>
        <v>0</v>
      </c>
      <c r="I195" s="217">
        <v>0</v>
      </c>
      <c r="J195" s="217">
        <f t="shared" si="10"/>
        <v>0</v>
      </c>
      <c r="K195" s="217">
        <f>+F195*(10.5/100)</f>
        <v>0</v>
      </c>
      <c r="L195" s="284">
        <v>0</v>
      </c>
      <c r="M195" s="217">
        <v>0</v>
      </c>
      <c r="N195" s="217">
        <f>+H195+K195</f>
        <v>0</v>
      </c>
      <c r="O195" s="217">
        <f>+((I195+J195)+(L195+M195))</f>
        <v>0</v>
      </c>
      <c r="P195" s="217">
        <f>+N195-O195</f>
        <v>0</v>
      </c>
      <c r="Q195" s="217" t="s">
        <v>263</v>
      </c>
      <c r="R195" s="216" t="s">
        <v>264</v>
      </c>
      <c r="S195" s="215" t="s">
        <v>1141</v>
      </c>
      <c r="T195" s="215"/>
    </row>
    <row r="196" spans="1:21" ht="54.75" customHeight="1" x14ac:dyDescent="0.2">
      <c r="A196" s="335"/>
      <c r="B196" s="335"/>
      <c r="C196" s="335"/>
      <c r="D196" s="216" t="s">
        <v>24</v>
      </c>
      <c r="E196" s="283">
        <v>15</v>
      </c>
      <c r="F196" s="217">
        <v>64.680000000000007</v>
      </c>
      <c r="G196" s="287">
        <f t="shared" si="15"/>
        <v>8.8935000000000013</v>
      </c>
      <c r="H196" s="217">
        <f>+F196*0.0275</f>
        <v>1.7787000000000002</v>
      </c>
      <c r="I196" s="217">
        <v>0</v>
      </c>
      <c r="J196" s="217">
        <f t="shared" si="10"/>
        <v>0</v>
      </c>
      <c r="K196" s="217">
        <f>+F196*(11/100)</f>
        <v>7.1148000000000007</v>
      </c>
      <c r="L196" s="284">
        <v>0</v>
      </c>
      <c r="M196" s="217">
        <v>0</v>
      </c>
      <c r="N196" s="217">
        <f t="shared" si="16"/>
        <v>8.8935000000000013</v>
      </c>
      <c r="O196" s="217">
        <f t="shared" si="13"/>
        <v>0</v>
      </c>
      <c r="P196" s="217">
        <f t="shared" si="14"/>
        <v>8.8935000000000013</v>
      </c>
      <c r="Q196" s="289" t="s">
        <v>203</v>
      </c>
      <c r="R196" s="289" t="s">
        <v>238</v>
      </c>
      <c r="S196" s="215" t="s">
        <v>188</v>
      </c>
      <c r="T196" s="215"/>
    </row>
    <row r="197" spans="1:21" ht="54.75" customHeight="1" x14ac:dyDescent="0.2">
      <c r="A197" s="335"/>
      <c r="B197" s="335"/>
      <c r="C197" s="335"/>
      <c r="D197" s="216" t="s">
        <v>27</v>
      </c>
      <c r="E197" s="283">
        <v>15</v>
      </c>
      <c r="F197" s="217">
        <v>70.900000000000006</v>
      </c>
      <c r="G197" s="287"/>
      <c r="H197" s="217">
        <f>+F197*0.0275</f>
        <v>1.9497500000000001</v>
      </c>
      <c r="I197" s="217">
        <v>0</v>
      </c>
      <c r="J197" s="217">
        <f t="shared" si="10"/>
        <v>0</v>
      </c>
      <c r="K197" s="217">
        <f>+F197*(11/100)</f>
        <v>7.7990000000000004</v>
      </c>
      <c r="L197" s="284">
        <v>0</v>
      </c>
      <c r="M197" s="217">
        <v>0</v>
      </c>
      <c r="N197" s="217">
        <f>+H197+K197</f>
        <v>9.7487500000000011</v>
      </c>
      <c r="O197" s="217">
        <f>+((I197+J197)+(L197+M197))</f>
        <v>0</v>
      </c>
      <c r="P197" s="217">
        <f>+N197-O197</f>
        <v>9.7487500000000011</v>
      </c>
      <c r="Q197" s="289" t="s">
        <v>1255</v>
      </c>
      <c r="R197" s="289" t="s">
        <v>239</v>
      </c>
      <c r="S197" s="215" t="s">
        <v>188</v>
      </c>
      <c r="T197" s="215"/>
    </row>
    <row r="198" spans="1:21" ht="54.75" customHeight="1" x14ac:dyDescent="0.2">
      <c r="A198" s="335"/>
      <c r="B198" s="335"/>
      <c r="C198" s="254" t="s">
        <v>1347</v>
      </c>
      <c r="D198" s="341" t="s">
        <v>1339</v>
      </c>
      <c r="E198" s="341"/>
      <c r="F198" s="341"/>
      <c r="G198" s="341"/>
      <c r="H198" s="341"/>
      <c r="I198" s="341"/>
      <c r="J198" s="341"/>
      <c r="K198" s="341"/>
      <c r="L198" s="341"/>
      <c r="M198" s="341"/>
      <c r="N198" s="341"/>
      <c r="O198" s="341"/>
      <c r="P198" s="341"/>
      <c r="Q198" s="341"/>
      <c r="R198" s="341"/>
      <c r="S198" s="215"/>
      <c r="T198" s="215"/>
    </row>
    <row r="199" spans="1:21" ht="63" customHeight="1" x14ac:dyDescent="0.2">
      <c r="A199" s="216">
        <v>32</v>
      </c>
      <c r="B199" s="333" t="s">
        <v>265</v>
      </c>
      <c r="C199" s="333" t="s">
        <v>1298</v>
      </c>
      <c r="D199" s="216" t="s">
        <v>27</v>
      </c>
      <c r="E199" s="283">
        <v>60</v>
      </c>
      <c r="F199" s="217">
        <v>291.89699999999999</v>
      </c>
      <c r="G199" s="287">
        <f>F199*9%</f>
        <v>26.270729999999997</v>
      </c>
      <c r="H199" s="217"/>
      <c r="I199" s="217">
        <v>0</v>
      </c>
      <c r="J199" s="217">
        <f t="shared" si="10"/>
        <v>0</v>
      </c>
      <c r="K199" s="217"/>
      <c r="L199" s="284">
        <v>0</v>
      </c>
      <c r="M199" s="217">
        <f t="shared" ref="M199:M213" si="18">(0*1000/1000000)</f>
        <v>0</v>
      </c>
      <c r="N199" s="217">
        <f>G199</f>
        <v>26.270729999999997</v>
      </c>
      <c r="O199" s="217">
        <f t="shared" si="13"/>
        <v>0</v>
      </c>
      <c r="P199" s="217">
        <f t="shared" si="14"/>
        <v>26.270729999999997</v>
      </c>
      <c r="Q199" s="289" t="s">
        <v>1159</v>
      </c>
      <c r="R199" s="289" t="s">
        <v>1249</v>
      </c>
      <c r="S199" s="215" t="s">
        <v>282</v>
      </c>
      <c r="T199" s="215" t="s">
        <v>283</v>
      </c>
    </row>
    <row r="200" spans="1:21" ht="80.25" customHeight="1" x14ac:dyDescent="0.2">
      <c r="A200" s="216">
        <v>33</v>
      </c>
      <c r="B200" s="333"/>
      <c r="C200" s="333"/>
      <c r="D200" s="216" t="s">
        <v>27</v>
      </c>
      <c r="E200" s="216">
        <v>15</v>
      </c>
      <c r="F200" s="217">
        <v>0</v>
      </c>
      <c r="G200" s="287">
        <f t="shared" si="15"/>
        <v>0</v>
      </c>
      <c r="H200" s="217">
        <f>+F200*0.005</f>
        <v>0</v>
      </c>
      <c r="I200" s="217">
        <v>0</v>
      </c>
      <c r="J200" s="217">
        <f t="shared" si="10"/>
        <v>0</v>
      </c>
      <c r="K200" s="217">
        <f>F200*0.085</f>
        <v>0</v>
      </c>
      <c r="L200" s="284">
        <v>0</v>
      </c>
      <c r="M200" s="217">
        <f t="shared" si="18"/>
        <v>0</v>
      </c>
      <c r="N200" s="217">
        <f t="shared" si="16"/>
        <v>0</v>
      </c>
      <c r="O200" s="217">
        <f t="shared" si="13"/>
        <v>0</v>
      </c>
      <c r="P200" s="217">
        <f t="shared" si="14"/>
        <v>0</v>
      </c>
      <c r="Q200" s="289" t="s">
        <v>195</v>
      </c>
      <c r="R200" s="289" t="s">
        <v>266</v>
      </c>
      <c r="S200" s="215" t="s">
        <v>1141</v>
      </c>
      <c r="T200" s="215" t="s">
        <v>283</v>
      </c>
    </row>
    <row r="201" spans="1:21" ht="51" customHeight="1" x14ac:dyDescent="0.2">
      <c r="A201" s="333">
        <v>34</v>
      </c>
      <c r="B201" s="333" t="s">
        <v>267</v>
      </c>
      <c r="C201" s="333" t="s">
        <v>1298</v>
      </c>
      <c r="D201" s="216" t="s">
        <v>21</v>
      </c>
      <c r="E201" s="283">
        <v>85</v>
      </c>
      <c r="F201" s="217">
        <v>287.7</v>
      </c>
      <c r="G201" s="287">
        <f t="shared" si="15"/>
        <v>31.646999999999998</v>
      </c>
      <c r="H201" s="217">
        <f>+F201*0.01</f>
        <v>2.8769999999999998</v>
      </c>
      <c r="I201" s="217">
        <v>0</v>
      </c>
      <c r="J201" s="217">
        <f t="shared" si="10"/>
        <v>0</v>
      </c>
      <c r="K201" s="217">
        <f>+F201*(10/100)</f>
        <v>28.77</v>
      </c>
      <c r="L201" s="284">
        <v>0</v>
      </c>
      <c r="M201" s="217">
        <f t="shared" si="18"/>
        <v>0</v>
      </c>
      <c r="N201" s="217">
        <f t="shared" si="16"/>
        <v>31.646999999999998</v>
      </c>
      <c r="O201" s="217">
        <f t="shared" si="13"/>
        <v>0</v>
      </c>
      <c r="P201" s="217">
        <f t="shared" si="14"/>
        <v>31.646999999999998</v>
      </c>
      <c r="Q201" s="217" t="s">
        <v>1137</v>
      </c>
      <c r="R201" s="216" t="s">
        <v>268</v>
      </c>
      <c r="S201" s="215" t="s">
        <v>282</v>
      </c>
      <c r="T201" s="215" t="s">
        <v>283</v>
      </c>
    </row>
    <row r="202" spans="1:21" ht="51" customHeight="1" x14ac:dyDescent="0.2">
      <c r="A202" s="333"/>
      <c r="B202" s="333"/>
      <c r="C202" s="333"/>
      <c r="D202" s="216" t="s">
        <v>22</v>
      </c>
      <c r="E202" s="283">
        <v>15</v>
      </c>
      <c r="F202" s="217">
        <v>124.75</v>
      </c>
      <c r="G202" s="287">
        <f t="shared" si="15"/>
        <v>15.59375</v>
      </c>
      <c r="H202" s="217">
        <f>+F202*0.02</f>
        <v>2.4950000000000001</v>
      </c>
      <c r="I202" s="217">
        <v>0</v>
      </c>
      <c r="J202" s="217">
        <f t="shared" si="10"/>
        <v>0</v>
      </c>
      <c r="K202" s="217">
        <f>+F202*(10.5/100)</f>
        <v>13.098749999999999</v>
      </c>
      <c r="L202" s="284">
        <v>0</v>
      </c>
      <c r="M202" s="217">
        <f t="shared" si="18"/>
        <v>0</v>
      </c>
      <c r="N202" s="217">
        <f t="shared" ref="N202:N210" si="19">+H202+K202</f>
        <v>15.59375</v>
      </c>
      <c r="O202" s="217">
        <f t="shared" ref="O202:O216" si="20">+((I202+J202)+(L202+M202))</f>
        <v>0</v>
      </c>
      <c r="P202" s="217">
        <f t="shared" ref="P202:P216" si="21">+N202-O202</f>
        <v>15.59375</v>
      </c>
      <c r="Q202" s="217" t="s">
        <v>1160</v>
      </c>
      <c r="R202" s="216" t="s">
        <v>269</v>
      </c>
      <c r="S202" s="215" t="s">
        <v>282</v>
      </c>
      <c r="T202" s="215" t="s">
        <v>283</v>
      </c>
    </row>
    <row r="203" spans="1:21" ht="51" customHeight="1" x14ac:dyDescent="0.2">
      <c r="A203" s="333"/>
      <c r="B203" s="333"/>
      <c r="C203" s="333"/>
      <c r="D203" s="223" t="s">
        <v>24</v>
      </c>
      <c r="E203" s="288">
        <v>15</v>
      </c>
      <c r="F203" s="271">
        <v>112.54</v>
      </c>
      <c r="G203" s="287">
        <f>F203*9%</f>
        <v>10.1286</v>
      </c>
      <c r="H203" s="217"/>
      <c r="I203" s="271">
        <v>0</v>
      </c>
      <c r="J203" s="271">
        <f t="shared" si="10"/>
        <v>0</v>
      </c>
      <c r="K203" s="217"/>
      <c r="L203" s="296">
        <v>0</v>
      </c>
      <c r="M203" s="271">
        <f t="shared" si="18"/>
        <v>0</v>
      </c>
      <c r="N203" s="217">
        <f>G203</f>
        <v>10.1286</v>
      </c>
      <c r="O203" s="271">
        <f t="shared" si="20"/>
        <v>0</v>
      </c>
      <c r="P203" s="271">
        <f t="shared" si="21"/>
        <v>10.1286</v>
      </c>
      <c r="Q203" s="297" t="s">
        <v>1183</v>
      </c>
      <c r="R203" s="297" t="s">
        <v>1184</v>
      </c>
      <c r="S203" s="215" t="s">
        <v>282</v>
      </c>
      <c r="T203" s="215" t="s">
        <v>283</v>
      </c>
    </row>
    <row r="204" spans="1:21" ht="51" customHeight="1" x14ac:dyDescent="0.2">
      <c r="A204" s="333"/>
      <c r="B204" s="333"/>
      <c r="C204" s="333"/>
      <c r="D204" s="223" t="s">
        <v>27</v>
      </c>
      <c r="E204" s="288">
        <f>15</f>
        <v>15</v>
      </c>
      <c r="F204" s="271">
        <v>99.53</v>
      </c>
      <c r="G204" s="287">
        <f>F204*9%</f>
        <v>8.9576999999999991</v>
      </c>
      <c r="H204" s="217"/>
      <c r="I204" s="271">
        <v>0</v>
      </c>
      <c r="J204" s="271">
        <f t="shared" si="10"/>
        <v>0</v>
      </c>
      <c r="K204" s="217"/>
      <c r="L204" s="296">
        <v>0</v>
      </c>
      <c r="M204" s="271">
        <f t="shared" si="18"/>
        <v>0</v>
      </c>
      <c r="N204" s="217">
        <f>G204</f>
        <v>8.9576999999999991</v>
      </c>
      <c r="O204" s="271">
        <f t="shared" si="20"/>
        <v>0</v>
      </c>
      <c r="P204" s="271">
        <f t="shared" si="21"/>
        <v>8.9576999999999991</v>
      </c>
      <c r="Q204" s="297" t="s">
        <v>1224</v>
      </c>
      <c r="R204" s="297" t="s">
        <v>270</v>
      </c>
      <c r="S204" s="215" t="s">
        <v>279</v>
      </c>
      <c r="T204" s="215" t="s">
        <v>280</v>
      </c>
    </row>
    <row r="205" spans="1:21" ht="51" customHeight="1" x14ac:dyDescent="0.2">
      <c r="A205" s="333">
        <v>35</v>
      </c>
      <c r="B205" s="333" t="s">
        <v>271</v>
      </c>
      <c r="C205" s="333" t="s">
        <v>1298</v>
      </c>
      <c r="D205" s="216" t="s">
        <v>24</v>
      </c>
      <c r="E205" s="283">
        <v>60</v>
      </c>
      <c r="F205" s="217">
        <v>241.86</v>
      </c>
      <c r="G205" s="287">
        <f>H205+K205</f>
        <v>33.255749999999999</v>
      </c>
      <c r="H205" s="217">
        <f>+F205*0.0275</f>
        <v>6.6511500000000003</v>
      </c>
      <c r="I205" s="217">
        <v>0</v>
      </c>
      <c r="J205" s="217">
        <f t="shared" si="10"/>
        <v>0</v>
      </c>
      <c r="K205" s="217">
        <f>+F205*(11/100)</f>
        <v>26.604600000000001</v>
      </c>
      <c r="L205" s="284">
        <v>0</v>
      </c>
      <c r="M205" s="217">
        <f t="shared" si="18"/>
        <v>0</v>
      </c>
      <c r="N205" s="217">
        <f>+H205+K205</f>
        <v>33.255749999999999</v>
      </c>
      <c r="O205" s="217">
        <f>+((I205+J205)+(L205+M205))</f>
        <v>0</v>
      </c>
      <c r="P205" s="217">
        <f>+N205-O205</f>
        <v>33.255749999999999</v>
      </c>
      <c r="Q205" s="289" t="s">
        <v>1210</v>
      </c>
      <c r="R205" s="289" t="s">
        <v>238</v>
      </c>
      <c r="S205" s="215" t="s">
        <v>188</v>
      </c>
      <c r="T205" s="215"/>
    </row>
    <row r="206" spans="1:21" ht="51" customHeight="1" x14ac:dyDescent="0.2">
      <c r="A206" s="333"/>
      <c r="B206" s="333"/>
      <c r="C206" s="333"/>
      <c r="D206" s="216" t="s">
        <v>27</v>
      </c>
      <c r="E206" s="283">
        <v>60</v>
      </c>
      <c r="F206" s="217">
        <v>60.29</v>
      </c>
      <c r="G206" s="287"/>
      <c r="H206" s="217">
        <f>+F206*0.035</f>
        <v>2.11015</v>
      </c>
      <c r="I206" s="217">
        <v>0</v>
      </c>
      <c r="J206" s="217">
        <f t="shared" si="10"/>
        <v>0</v>
      </c>
      <c r="K206" s="217">
        <f>+F206*(11.5/100)</f>
        <v>6.9333499999999999</v>
      </c>
      <c r="L206" s="284">
        <v>0</v>
      </c>
      <c r="M206" s="217">
        <f t="shared" si="18"/>
        <v>0</v>
      </c>
      <c r="N206" s="217">
        <f t="shared" si="19"/>
        <v>9.0434999999999999</v>
      </c>
      <c r="O206" s="217">
        <f t="shared" si="20"/>
        <v>0</v>
      </c>
      <c r="P206" s="217">
        <f t="shared" si="21"/>
        <v>9.0434999999999999</v>
      </c>
      <c r="Q206" s="289" t="s">
        <v>1159</v>
      </c>
      <c r="R206" s="289" t="s">
        <v>239</v>
      </c>
      <c r="S206" s="215" t="s">
        <v>188</v>
      </c>
      <c r="T206" s="215"/>
    </row>
    <row r="207" spans="1:21" s="286" customFormat="1" ht="51" customHeight="1" x14ac:dyDescent="0.2">
      <c r="A207" s="335">
        <v>36</v>
      </c>
      <c r="B207" s="335" t="s">
        <v>273</v>
      </c>
      <c r="C207" s="335" t="s">
        <v>1298</v>
      </c>
      <c r="D207" s="216" t="s">
        <v>21</v>
      </c>
      <c r="E207" s="216">
        <v>8.7200000000000006</v>
      </c>
      <c r="F207" s="217">
        <v>3.1E-2</v>
      </c>
      <c r="G207" s="287">
        <f t="shared" ref="G207:G210" si="22">H207+K207</f>
        <v>3.4100000000000003E-3</v>
      </c>
      <c r="H207" s="217">
        <f>F207*1%</f>
        <v>3.1E-4</v>
      </c>
      <c r="I207" s="217">
        <v>0</v>
      </c>
      <c r="J207" s="217">
        <f t="shared" si="10"/>
        <v>0</v>
      </c>
      <c r="K207" s="217">
        <f>+F207*(10/100)</f>
        <v>3.1000000000000003E-3</v>
      </c>
      <c r="L207" s="284">
        <v>0</v>
      </c>
      <c r="M207" s="217">
        <f t="shared" si="18"/>
        <v>0</v>
      </c>
      <c r="N207" s="217">
        <f t="shared" ref="N207" si="23">+H207+K207</f>
        <v>3.4100000000000003E-3</v>
      </c>
      <c r="O207" s="217">
        <f t="shared" ref="O207" si="24">+((I207+J207)+(L207+M207))</f>
        <v>0</v>
      </c>
      <c r="P207" s="217">
        <f t="shared" ref="P207" si="25">+N207-O207</f>
        <v>3.4100000000000003E-3</v>
      </c>
      <c r="Q207" s="289" t="s">
        <v>1144</v>
      </c>
      <c r="R207" s="289" t="s">
        <v>1145</v>
      </c>
      <c r="S207" s="285" t="s">
        <v>282</v>
      </c>
      <c r="T207" s="285" t="s">
        <v>283</v>
      </c>
      <c r="U207" s="286" t="s">
        <v>1166</v>
      </c>
    </row>
    <row r="208" spans="1:21" s="286" customFormat="1" ht="51" customHeight="1" x14ac:dyDescent="0.2">
      <c r="A208" s="335"/>
      <c r="B208" s="335"/>
      <c r="C208" s="335"/>
      <c r="D208" s="216" t="s">
        <v>22</v>
      </c>
      <c r="E208" s="216">
        <v>8.7200000000000006</v>
      </c>
      <c r="F208" s="217">
        <v>20.84</v>
      </c>
      <c r="G208" s="287">
        <f t="shared" si="22"/>
        <v>2.6049999999999995</v>
      </c>
      <c r="H208" s="217">
        <f>F208*2%</f>
        <v>0.4168</v>
      </c>
      <c r="I208" s="217">
        <v>0</v>
      </c>
      <c r="J208" s="217">
        <f t="shared" si="10"/>
        <v>0</v>
      </c>
      <c r="K208" s="217">
        <f>+F208*(10.5/100)</f>
        <v>2.1881999999999997</v>
      </c>
      <c r="L208" s="284">
        <v>0</v>
      </c>
      <c r="M208" s="217">
        <f t="shared" si="18"/>
        <v>0</v>
      </c>
      <c r="N208" s="217">
        <f t="shared" ref="N208" si="26">+H208+K208</f>
        <v>2.6049999999999995</v>
      </c>
      <c r="O208" s="217">
        <f t="shared" ref="O208" si="27">+((I208+J208)+(L208+M208))</f>
        <v>0</v>
      </c>
      <c r="P208" s="217">
        <f t="shared" ref="P208" si="28">+N208-O208</f>
        <v>2.6049999999999995</v>
      </c>
      <c r="Q208" s="289" t="s">
        <v>1144</v>
      </c>
      <c r="R208" s="289" t="s">
        <v>1165</v>
      </c>
      <c r="S208" s="285" t="s">
        <v>282</v>
      </c>
      <c r="T208" s="285" t="s">
        <v>283</v>
      </c>
    </row>
    <row r="209" spans="1:20" s="286" customFormat="1" ht="51" customHeight="1" x14ac:dyDescent="0.2">
      <c r="A209" s="335"/>
      <c r="B209" s="335"/>
      <c r="C209" s="335"/>
      <c r="D209" s="216" t="s">
        <v>24</v>
      </c>
      <c r="E209" s="216">
        <v>8.7200000000000006</v>
      </c>
      <c r="F209" s="217">
        <v>41.607999999999997</v>
      </c>
      <c r="G209" s="287">
        <f t="shared" si="22"/>
        <v>5.2009999999999996</v>
      </c>
      <c r="H209" s="217">
        <f>+F209*0.02</f>
        <v>0.83216000000000001</v>
      </c>
      <c r="I209" s="217">
        <v>0</v>
      </c>
      <c r="J209" s="217">
        <f t="shared" si="10"/>
        <v>0</v>
      </c>
      <c r="K209" s="217">
        <f>+F209*(10.5/100)</f>
        <v>4.3688399999999996</v>
      </c>
      <c r="L209" s="284">
        <v>0</v>
      </c>
      <c r="M209" s="217">
        <f t="shared" si="18"/>
        <v>0</v>
      </c>
      <c r="N209" s="217">
        <f t="shared" si="19"/>
        <v>5.2009999999999996</v>
      </c>
      <c r="O209" s="217">
        <f t="shared" si="20"/>
        <v>0</v>
      </c>
      <c r="P209" s="217">
        <f t="shared" si="21"/>
        <v>5.2009999999999996</v>
      </c>
      <c r="Q209" s="289" t="s">
        <v>1207</v>
      </c>
      <c r="R209" s="289" t="s">
        <v>272</v>
      </c>
      <c r="S209" s="285" t="s">
        <v>282</v>
      </c>
      <c r="T209" s="285" t="s">
        <v>283</v>
      </c>
    </row>
    <row r="210" spans="1:20" s="286" customFormat="1" ht="51" customHeight="1" x14ac:dyDescent="0.2">
      <c r="A210" s="335"/>
      <c r="B210" s="335"/>
      <c r="C210" s="335"/>
      <c r="D210" s="216" t="s">
        <v>27</v>
      </c>
      <c r="E210" s="288">
        <v>8.7200000000000006</v>
      </c>
      <c r="F210" s="217">
        <v>40.020000000000003</v>
      </c>
      <c r="G210" s="287">
        <f t="shared" si="22"/>
        <v>5.0025000000000004</v>
      </c>
      <c r="H210" s="217">
        <f>+F210*0.02</f>
        <v>0.80040000000000011</v>
      </c>
      <c r="I210" s="271">
        <v>0</v>
      </c>
      <c r="J210" s="271">
        <v>0</v>
      </c>
      <c r="K210" s="217">
        <f>+F210*(10.5/100)</f>
        <v>4.2021000000000006</v>
      </c>
      <c r="L210" s="284">
        <v>0</v>
      </c>
      <c r="M210" s="271">
        <v>0</v>
      </c>
      <c r="N210" s="217">
        <f t="shared" si="19"/>
        <v>5.0025000000000004</v>
      </c>
      <c r="O210" s="217">
        <f t="shared" si="20"/>
        <v>0</v>
      </c>
      <c r="P210" s="217">
        <f t="shared" si="21"/>
        <v>5.0025000000000004</v>
      </c>
      <c r="Q210" s="297" t="s">
        <v>1251</v>
      </c>
      <c r="R210" s="289" t="s">
        <v>274</v>
      </c>
      <c r="S210" s="285" t="s">
        <v>282</v>
      </c>
      <c r="T210" s="285" t="s">
        <v>283</v>
      </c>
    </row>
    <row r="211" spans="1:20" s="286" customFormat="1" ht="51" customHeight="1" x14ac:dyDescent="0.2">
      <c r="A211" s="335"/>
      <c r="B211" s="335"/>
      <c r="C211" s="336" t="s">
        <v>1426</v>
      </c>
      <c r="D211" s="254" t="s">
        <v>21</v>
      </c>
      <c r="E211" s="254">
        <v>8.7200000000000006</v>
      </c>
      <c r="F211" s="258">
        <v>3.1300000000000001E-2</v>
      </c>
      <c r="G211" s="292">
        <v>3.3999999999999998E-3</v>
      </c>
      <c r="H211" s="258">
        <v>2.9999999999999997E-4</v>
      </c>
      <c r="I211" s="270">
        <v>0</v>
      </c>
      <c r="J211" s="270">
        <v>0</v>
      </c>
      <c r="K211" s="258">
        <v>3.0999999999999999E-3</v>
      </c>
      <c r="L211" s="293">
        <v>0</v>
      </c>
      <c r="M211" s="258">
        <f t="shared" si="18"/>
        <v>0</v>
      </c>
      <c r="N211" s="292">
        <v>3.3999999999999998E-3</v>
      </c>
      <c r="O211" s="258">
        <v>0</v>
      </c>
      <c r="P211" s="292">
        <v>3.3999999999999998E-3</v>
      </c>
      <c r="Q211" s="319"/>
      <c r="R211" s="295"/>
      <c r="S211" s="285"/>
      <c r="T211" s="285"/>
    </row>
    <row r="212" spans="1:20" s="286" customFormat="1" ht="51" customHeight="1" x14ac:dyDescent="0.2">
      <c r="A212" s="335"/>
      <c r="B212" s="335"/>
      <c r="C212" s="336"/>
      <c r="D212" s="254" t="s">
        <v>22</v>
      </c>
      <c r="E212" s="254">
        <v>8.7200000000000006</v>
      </c>
      <c r="F212" s="258">
        <v>20.84</v>
      </c>
      <c r="G212" s="292">
        <v>2.605</v>
      </c>
      <c r="H212" s="258">
        <v>0.4168</v>
      </c>
      <c r="I212" s="270">
        <v>0</v>
      </c>
      <c r="J212" s="270">
        <v>0</v>
      </c>
      <c r="K212" s="258">
        <v>2.1882000000000001</v>
      </c>
      <c r="L212" s="293">
        <v>0</v>
      </c>
      <c r="M212" s="258">
        <f t="shared" si="18"/>
        <v>0</v>
      </c>
      <c r="N212" s="292">
        <v>2.605</v>
      </c>
      <c r="O212" s="258">
        <v>0</v>
      </c>
      <c r="P212" s="292">
        <v>2.605</v>
      </c>
      <c r="Q212" s="319"/>
      <c r="R212" s="295"/>
      <c r="S212" s="285"/>
      <c r="T212" s="285"/>
    </row>
    <row r="213" spans="1:20" s="286" customFormat="1" ht="51" customHeight="1" x14ac:dyDescent="0.2">
      <c r="A213" s="335"/>
      <c r="B213" s="335"/>
      <c r="C213" s="336"/>
      <c r="D213" s="254" t="s">
        <v>24</v>
      </c>
      <c r="E213" s="254">
        <v>8.7200000000000006</v>
      </c>
      <c r="F213" s="258">
        <v>39.668799999999997</v>
      </c>
      <c r="G213" s="292">
        <v>5.4543999999999997</v>
      </c>
      <c r="H213" s="258">
        <v>1.0909</v>
      </c>
      <c r="I213" s="270">
        <v>0</v>
      </c>
      <c r="J213" s="270">
        <v>0</v>
      </c>
      <c r="K213" s="258">
        <v>4.3635999999999999</v>
      </c>
      <c r="L213" s="293">
        <v>0</v>
      </c>
      <c r="M213" s="258">
        <f t="shared" si="18"/>
        <v>0</v>
      </c>
      <c r="N213" s="292">
        <v>5.4545000000000003</v>
      </c>
      <c r="O213" s="258">
        <v>0</v>
      </c>
      <c r="P213" s="292">
        <v>5.4545000000000003</v>
      </c>
      <c r="Q213" s="319"/>
      <c r="R213" s="295"/>
      <c r="S213" s="285"/>
      <c r="T213" s="285"/>
    </row>
    <row r="214" spans="1:20" s="286" customFormat="1" ht="51" customHeight="1" x14ac:dyDescent="0.2">
      <c r="A214" s="335"/>
      <c r="B214" s="335"/>
      <c r="C214" s="336"/>
      <c r="D214" s="254" t="s">
        <v>27</v>
      </c>
      <c r="E214" s="291">
        <v>8.7200000000000006</v>
      </c>
      <c r="F214" s="258">
        <v>40.0184</v>
      </c>
      <c r="G214" s="292">
        <v>6.0026999999999999</v>
      </c>
      <c r="H214" s="258">
        <v>1.4006000000000001</v>
      </c>
      <c r="I214" s="270">
        <v>0</v>
      </c>
      <c r="J214" s="270">
        <v>0</v>
      </c>
      <c r="K214" s="258">
        <v>4.6021000000000001</v>
      </c>
      <c r="L214" s="293">
        <v>0</v>
      </c>
      <c r="M214" s="270">
        <v>0</v>
      </c>
      <c r="N214" s="292">
        <v>6.0027999999999997</v>
      </c>
      <c r="O214" s="258">
        <v>0</v>
      </c>
      <c r="P214" s="292">
        <v>6.0027999999999997</v>
      </c>
      <c r="Q214" s="319"/>
      <c r="R214" s="295"/>
      <c r="S214" s="285"/>
      <c r="T214" s="285"/>
    </row>
    <row r="215" spans="1:20" ht="51" customHeight="1" x14ac:dyDescent="0.2">
      <c r="A215" s="333">
        <v>37</v>
      </c>
      <c r="B215" s="333" t="s">
        <v>275</v>
      </c>
      <c r="C215" s="333" t="s">
        <v>1298</v>
      </c>
      <c r="D215" s="216" t="s">
        <v>24</v>
      </c>
      <c r="E215" s="288">
        <v>7.5</v>
      </c>
      <c r="F215" s="217">
        <v>29.184850000000001</v>
      </c>
      <c r="G215" s="287">
        <f>F215*9%</f>
        <v>2.6266365</v>
      </c>
      <c r="H215" s="217"/>
      <c r="I215" s="217">
        <v>0</v>
      </c>
      <c r="J215" s="217">
        <f>(0*1000/1000000)</f>
        <v>0</v>
      </c>
      <c r="K215" s="217"/>
      <c r="L215" s="284">
        <v>0</v>
      </c>
      <c r="M215" s="217">
        <f>(0*1000/1000000)</f>
        <v>0</v>
      </c>
      <c r="N215" s="217">
        <f>G215</f>
        <v>2.6266365</v>
      </c>
      <c r="O215" s="217">
        <f t="shared" si="20"/>
        <v>0</v>
      </c>
      <c r="P215" s="217">
        <f t="shared" si="21"/>
        <v>2.6266365</v>
      </c>
      <c r="Q215" s="216" t="s">
        <v>234</v>
      </c>
      <c r="R215" s="289" t="s">
        <v>276</v>
      </c>
      <c r="S215" s="215" t="s">
        <v>282</v>
      </c>
      <c r="T215" s="215" t="s">
        <v>283</v>
      </c>
    </row>
    <row r="216" spans="1:20" ht="51" customHeight="1" x14ac:dyDescent="0.2">
      <c r="A216" s="333"/>
      <c r="B216" s="333"/>
      <c r="C216" s="333"/>
      <c r="D216" s="216" t="s">
        <v>27</v>
      </c>
      <c r="E216" s="288">
        <v>7.5</v>
      </c>
      <c r="F216" s="217">
        <v>46.684375000000003</v>
      </c>
      <c r="G216" s="287">
        <f>F216*9%</f>
        <v>4.2015937499999998</v>
      </c>
      <c r="H216" s="217"/>
      <c r="I216" s="217">
        <v>0</v>
      </c>
      <c r="J216" s="217">
        <f>(0*1000/1000000)</f>
        <v>0</v>
      </c>
      <c r="K216" s="217"/>
      <c r="L216" s="284">
        <v>0</v>
      </c>
      <c r="M216" s="217">
        <f>(0*1000/1000000)</f>
        <v>0</v>
      </c>
      <c r="N216" s="217">
        <f>G216</f>
        <v>4.2015937499999998</v>
      </c>
      <c r="O216" s="217">
        <f t="shared" si="20"/>
        <v>0</v>
      </c>
      <c r="P216" s="217">
        <f t="shared" si="21"/>
        <v>4.2015937499999998</v>
      </c>
      <c r="Q216" s="216" t="s">
        <v>234</v>
      </c>
      <c r="R216" s="289" t="s">
        <v>1250</v>
      </c>
      <c r="S216" s="215" t="s">
        <v>282</v>
      </c>
      <c r="T216" s="215" t="s">
        <v>283</v>
      </c>
    </row>
    <row r="219" spans="1:20" x14ac:dyDescent="0.25">
      <c r="B219" s="98">
        <v>8</v>
      </c>
    </row>
    <row r="220" spans="1:20" x14ac:dyDescent="0.25">
      <c r="B220" s="98">
        <v>8</v>
      </c>
    </row>
    <row r="221" spans="1:20" x14ac:dyDescent="0.25">
      <c r="B221" s="98">
        <v>26</v>
      </c>
    </row>
    <row r="222" spans="1:20" x14ac:dyDescent="0.25">
      <c r="B222" s="98">
        <v>27</v>
      </c>
    </row>
    <row r="223" spans="1:20" x14ac:dyDescent="0.25">
      <c r="B223" s="98">
        <v>33</v>
      </c>
    </row>
    <row r="224" spans="1:20" x14ac:dyDescent="0.25">
      <c r="B224" s="98">
        <v>31</v>
      </c>
    </row>
  </sheetData>
  <autoFilter ref="A2:T216" xr:uid="{00000000-0009-0000-0000-000000000000}">
    <filterColumn colId="7" showButton="0"/>
    <filterColumn colId="8" showButton="0"/>
    <filterColumn colId="10" showButton="0"/>
    <filterColumn colId="11" showButton="0"/>
  </autoFilter>
  <mergeCells count="149">
    <mergeCell ref="E30:R35"/>
    <mergeCell ref="A24:A35"/>
    <mergeCell ref="B24:B35"/>
    <mergeCell ref="C30:C35"/>
    <mergeCell ref="C24:C29"/>
    <mergeCell ref="A36:A41"/>
    <mergeCell ref="A5:A23"/>
    <mergeCell ref="O2:O4"/>
    <mergeCell ref="A1:R1"/>
    <mergeCell ref="A2:A4"/>
    <mergeCell ref="B2:B4"/>
    <mergeCell ref="D2:D4"/>
    <mergeCell ref="E2:E4"/>
    <mergeCell ref="F2:F4"/>
    <mergeCell ref="H2:J2"/>
    <mergeCell ref="K2:M2"/>
    <mergeCell ref="I3:J3"/>
    <mergeCell ref="L3:M3"/>
    <mergeCell ref="G2:G4"/>
    <mergeCell ref="H3:H4"/>
    <mergeCell ref="K3:K4"/>
    <mergeCell ref="N2:N4"/>
    <mergeCell ref="F192:R193"/>
    <mergeCell ref="A157:A164"/>
    <mergeCell ref="B157:B164"/>
    <mergeCell ref="C157:C160"/>
    <mergeCell ref="C161:C164"/>
    <mergeCell ref="B42:B47"/>
    <mergeCell ref="A42:A47"/>
    <mergeCell ref="B48:B58"/>
    <mergeCell ref="A48:A58"/>
    <mergeCell ref="A85:A86"/>
    <mergeCell ref="B85:B86"/>
    <mergeCell ref="C53:C58"/>
    <mergeCell ref="C48:C52"/>
    <mergeCell ref="C59:C62"/>
    <mergeCell ref="B59:B68"/>
    <mergeCell ref="A59:A68"/>
    <mergeCell ref="C63:C68"/>
    <mergeCell ref="E86:R86"/>
    <mergeCell ref="A69:A78"/>
    <mergeCell ref="A79:A84"/>
    <mergeCell ref="B123:B126"/>
    <mergeCell ref="C125:C126"/>
    <mergeCell ref="A123:A126"/>
    <mergeCell ref="E65:P68"/>
    <mergeCell ref="P2:P4"/>
    <mergeCell ref="Q2:Q4"/>
    <mergeCell ref="R2:R4"/>
    <mergeCell ref="C5:C10"/>
    <mergeCell ref="C11:C23"/>
    <mergeCell ref="A127:A134"/>
    <mergeCell ref="A201:A204"/>
    <mergeCell ref="A205:A206"/>
    <mergeCell ref="A165:A168"/>
    <mergeCell ref="A173:A176"/>
    <mergeCell ref="A184:A187"/>
    <mergeCell ref="A147:A149"/>
    <mergeCell ref="A154:A156"/>
    <mergeCell ref="A143:A146"/>
    <mergeCell ref="A150:A153"/>
    <mergeCell ref="A169:A172"/>
    <mergeCell ref="A135:A142"/>
    <mergeCell ref="A188:A193"/>
    <mergeCell ref="A194:A198"/>
    <mergeCell ref="B69:B78"/>
    <mergeCell ref="B115:B120"/>
    <mergeCell ref="D198:R198"/>
    <mergeCell ref="D192:D193"/>
    <mergeCell ref="E192:E193"/>
    <mergeCell ref="A215:A216"/>
    <mergeCell ref="B148:B149"/>
    <mergeCell ref="B154:B156"/>
    <mergeCell ref="B165:B168"/>
    <mergeCell ref="B173:B176"/>
    <mergeCell ref="B184:B187"/>
    <mergeCell ref="B199:B200"/>
    <mergeCell ref="B201:B204"/>
    <mergeCell ref="B205:B206"/>
    <mergeCell ref="B150:B153"/>
    <mergeCell ref="B169:B172"/>
    <mergeCell ref="A207:A214"/>
    <mergeCell ref="B188:B193"/>
    <mergeCell ref="B194:B198"/>
    <mergeCell ref="B177:B183"/>
    <mergeCell ref="A177:A183"/>
    <mergeCell ref="B215:B216"/>
    <mergeCell ref="B207:B214"/>
    <mergeCell ref="B135:B142"/>
    <mergeCell ref="C135:C138"/>
    <mergeCell ref="C139:C142"/>
    <mergeCell ref="C152:C153"/>
    <mergeCell ref="C150:C151"/>
    <mergeCell ref="C188:C191"/>
    <mergeCell ref="C194:C197"/>
    <mergeCell ref="C180:C183"/>
    <mergeCell ref="C177:C179"/>
    <mergeCell ref="C147:C149"/>
    <mergeCell ref="C207:C210"/>
    <mergeCell ref="C211:C214"/>
    <mergeCell ref="C192:C193"/>
    <mergeCell ref="C169:C170"/>
    <mergeCell ref="C171:C172"/>
    <mergeCell ref="A87:A90"/>
    <mergeCell ref="B87:B90"/>
    <mergeCell ref="A121:A122"/>
    <mergeCell ref="A107:A110"/>
    <mergeCell ref="A111:A114"/>
    <mergeCell ref="A115:A120"/>
    <mergeCell ref="A91:A94"/>
    <mergeCell ref="B103:B106"/>
    <mergeCell ref="A103:A106"/>
    <mergeCell ref="B95:B102"/>
    <mergeCell ref="A95:A102"/>
    <mergeCell ref="B121:B122"/>
    <mergeCell ref="B91:B94"/>
    <mergeCell ref="B107:B110"/>
    <mergeCell ref="B111:B114"/>
    <mergeCell ref="C215:C216"/>
    <mergeCell ref="C184:C187"/>
    <mergeCell ref="C173:C176"/>
    <mergeCell ref="C143:C146"/>
    <mergeCell ref="C111:C114"/>
    <mergeCell ref="C107:C110"/>
    <mergeCell ref="C103:C106"/>
    <mergeCell ref="C92:C94"/>
    <mergeCell ref="C79:C84"/>
    <mergeCell ref="C127:C130"/>
    <mergeCell ref="C131:C134"/>
    <mergeCell ref="C123:C124"/>
    <mergeCell ref="C121:C122"/>
    <mergeCell ref="C115:C116"/>
    <mergeCell ref="C117:C120"/>
    <mergeCell ref="C95:C98"/>
    <mergeCell ref="C99:C102"/>
    <mergeCell ref="C87:C90"/>
    <mergeCell ref="B5:B23"/>
    <mergeCell ref="C75:C78"/>
    <mergeCell ref="C69:C74"/>
    <mergeCell ref="C42:C47"/>
    <mergeCell ref="C36:C41"/>
    <mergeCell ref="C165:C168"/>
    <mergeCell ref="C205:C206"/>
    <mergeCell ref="C201:C204"/>
    <mergeCell ref="C199:C200"/>
    <mergeCell ref="B127:B134"/>
    <mergeCell ref="B143:B146"/>
    <mergeCell ref="B79:B84"/>
    <mergeCell ref="B36:B41"/>
  </mergeCells>
  <pageMargins left="0.54" right="0.196850393700787" top="0.33" bottom="0.1" header="0.196850393700787" footer="0.2"/>
  <pageSetup scale="10" fitToHeight="2" orientation="landscape" r:id="rId1"/>
  <headerFooter alignWithMargins="0">
    <oddFooter>&amp;C&amp;"Arial,Regular"&amp;36&amp;Z&amp;F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sheetPr>
  <dimension ref="A1:AD1589"/>
  <sheetViews>
    <sheetView tabSelected="1" view="pageBreakPreview" zoomScale="60" zoomScaleNormal="10" workbookViewId="0">
      <pane xSplit="6" ySplit="4" topLeftCell="G47" activePane="bottomRight" state="frozen"/>
      <selection pane="topRight" activeCell="F1" sqref="F1"/>
      <selection pane="bottomLeft" activeCell="A5" sqref="A5"/>
      <selection pane="bottomRight" activeCell="B2" sqref="B1:B1048576"/>
    </sheetView>
  </sheetViews>
  <sheetFormatPr defaultColWidth="9.140625" defaultRowHeight="61.5" x14ac:dyDescent="0.75"/>
  <cols>
    <col min="1" max="1" width="10.42578125" style="249" customWidth="1"/>
    <col min="2" max="2" width="48.5703125" style="213" customWidth="1"/>
    <col min="3" max="3" width="21" style="154" customWidth="1"/>
    <col min="4" max="4" width="24.140625" style="185" customWidth="1"/>
    <col min="5" max="5" width="22.140625" style="185" customWidth="1"/>
    <col min="6" max="6" width="24.5703125" style="159" customWidth="1"/>
    <col min="7" max="7" width="18.7109375" style="159" customWidth="1"/>
    <col min="8" max="8" width="18" style="159" customWidth="1"/>
    <col min="9" max="9" width="16.140625" style="159" customWidth="1"/>
    <col min="10" max="10" width="24.85546875" style="159" customWidth="1"/>
    <col min="11" max="11" width="25.140625" style="159" customWidth="1"/>
    <col min="12" max="12" width="16.140625" style="159" customWidth="1"/>
    <col min="13" max="13" width="17.5703125" style="154" customWidth="1"/>
    <col min="14" max="14" width="25.42578125" style="159" customWidth="1"/>
    <col min="15" max="15" width="26.7109375" style="159" customWidth="1"/>
    <col min="16" max="16" width="22.42578125" style="159" customWidth="1"/>
    <col min="17" max="17" width="23.140625" style="159" customWidth="1"/>
    <col min="18" max="18" width="39.7109375" style="159" customWidth="1"/>
    <col min="19" max="19" width="70.28515625" style="211" customWidth="1"/>
    <col min="20" max="20" width="9.140625" style="15"/>
    <col min="21" max="21" width="36.85546875" style="15" bestFit="1" customWidth="1"/>
    <col min="22" max="25" width="9.140625" style="15"/>
    <col min="26" max="26" width="18.5703125" style="15" bestFit="1" customWidth="1"/>
    <col min="27" max="16384" width="9.140625" style="15"/>
  </cols>
  <sheetData>
    <row r="1" spans="1:30" s="1" customFormat="1" ht="63.75" customHeight="1" x14ac:dyDescent="0.75">
      <c r="A1" s="369" t="s">
        <v>501</v>
      </c>
      <c r="B1" s="369"/>
      <c r="C1" s="369"/>
      <c r="D1" s="369"/>
      <c r="E1" s="369"/>
      <c r="F1" s="369"/>
      <c r="G1" s="369"/>
      <c r="H1" s="369"/>
      <c r="I1" s="369"/>
      <c r="J1" s="369"/>
      <c r="K1" s="369"/>
      <c r="L1" s="369"/>
      <c r="M1" s="369"/>
      <c r="N1" s="369"/>
      <c r="O1" s="369"/>
      <c r="P1" s="369"/>
      <c r="Q1" s="369"/>
      <c r="R1" s="369"/>
      <c r="S1" s="369"/>
      <c r="T1" s="219"/>
      <c r="U1" s="219"/>
      <c r="V1" s="219"/>
    </row>
    <row r="2" spans="1:30" s="3" customFormat="1" ht="32.1" customHeight="1" x14ac:dyDescent="0.7">
      <c r="A2" s="343" t="s">
        <v>922</v>
      </c>
      <c r="B2" s="370" t="s">
        <v>1</v>
      </c>
      <c r="C2" s="343" t="s">
        <v>920</v>
      </c>
      <c r="D2" s="371" t="s">
        <v>921</v>
      </c>
      <c r="E2" s="375"/>
      <c r="F2" s="343" t="s">
        <v>2</v>
      </c>
      <c r="G2" s="343" t="s">
        <v>3</v>
      </c>
      <c r="H2" s="343" t="s">
        <v>4</v>
      </c>
      <c r="I2" s="343" t="s">
        <v>5</v>
      </c>
      <c r="J2" s="343"/>
      <c r="K2" s="343"/>
      <c r="L2" s="343" t="s">
        <v>6</v>
      </c>
      <c r="M2" s="343"/>
      <c r="N2" s="343"/>
      <c r="O2" s="372" t="s">
        <v>7</v>
      </c>
      <c r="P2" s="372" t="s">
        <v>8</v>
      </c>
      <c r="Q2" s="372" t="s">
        <v>9</v>
      </c>
      <c r="R2" s="372" t="s">
        <v>10</v>
      </c>
      <c r="S2" s="372" t="s">
        <v>11</v>
      </c>
      <c r="T2" s="219"/>
      <c r="U2" s="219"/>
      <c r="V2" s="219"/>
      <c r="AD2" s="4"/>
    </row>
    <row r="3" spans="1:30" s="14" customFormat="1" ht="32.1" customHeight="1" x14ac:dyDescent="0.7">
      <c r="A3" s="343"/>
      <c r="B3" s="370"/>
      <c r="C3" s="343"/>
      <c r="D3" s="371"/>
      <c r="E3" s="376"/>
      <c r="F3" s="343"/>
      <c r="G3" s="343"/>
      <c r="H3" s="343"/>
      <c r="I3" s="343" t="s">
        <v>502</v>
      </c>
      <c r="J3" s="343" t="s">
        <v>12</v>
      </c>
      <c r="K3" s="343"/>
      <c r="L3" s="343" t="s">
        <v>503</v>
      </c>
      <c r="M3" s="343" t="s">
        <v>13</v>
      </c>
      <c r="N3" s="343"/>
      <c r="O3" s="373"/>
      <c r="P3" s="373"/>
      <c r="Q3" s="373"/>
      <c r="R3" s="373"/>
      <c r="S3" s="373"/>
      <c r="T3" s="219"/>
      <c r="U3" s="219"/>
      <c r="V3" s="219"/>
      <c r="W3" s="3"/>
      <c r="X3" s="3"/>
      <c r="Y3" s="3"/>
      <c r="Z3" s="3"/>
      <c r="AA3" s="3"/>
      <c r="AB3" s="3"/>
      <c r="AC3" s="3"/>
      <c r="AD3" s="3"/>
    </row>
    <row r="4" spans="1:30" s="14" customFormat="1" ht="62.1" customHeight="1" x14ac:dyDescent="0.7">
      <c r="A4" s="343"/>
      <c r="B4" s="370"/>
      <c r="C4" s="343"/>
      <c r="D4" s="371"/>
      <c r="E4" s="377"/>
      <c r="F4" s="343"/>
      <c r="G4" s="343"/>
      <c r="H4" s="343"/>
      <c r="I4" s="343"/>
      <c r="J4" s="212" t="s">
        <v>14</v>
      </c>
      <c r="K4" s="212" t="s">
        <v>15</v>
      </c>
      <c r="L4" s="343"/>
      <c r="M4" s="212" t="s">
        <v>16</v>
      </c>
      <c r="N4" s="212" t="s">
        <v>17</v>
      </c>
      <c r="O4" s="374"/>
      <c r="P4" s="374"/>
      <c r="Q4" s="374"/>
      <c r="R4" s="374"/>
      <c r="S4" s="374"/>
      <c r="T4" s="219"/>
      <c r="U4" s="219"/>
      <c r="V4" s="219"/>
      <c r="W4" s="3"/>
      <c r="X4" s="3"/>
      <c r="Y4" s="3"/>
      <c r="Z4" s="3"/>
      <c r="AA4" s="3"/>
      <c r="AB4" s="3"/>
      <c r="AC4" s="3"/>
      <c r="AD4" s="3"/>
    </row>
    <row r="5" spans="1:30" ht="86.45" customHeight="1" x14ac:dyDescent="0.75">
      <c r="A5" s="333">
        <v>1</v>
      </c>
      <c r="B5" s="353" t="s">
        <v>512</v>
      </c>
      <c r="C5" s="333" t="s">
        <v>511</v>
      </c>
      <c r="D5" s="354">
        <v>32949025860</v>
      </c>
      <c r="E5" s="221"/>
      <c r="F5" s="216" t="s">
        <v>18</v>
      </c>
      <c r="G5" s="216">
        <v>51.686999999999998</v>
      </c>
      <c r="H5" s="233">
        <v>254.798675</v>
      </c>
      <c r="I5" s="233">
        <f>+H5*0.005</f>
        <v>1.2739933750000001</v>
      </c>
      <c r="J5" s="233">
        <v>0</v>
      </c>
      <c r="K5" s="233">
        <f>(860)*1000/1000000</f>
        <v>0.86</v>
      </c>
      <c r="L5" s="233">
        <f>+H5*(8.5/100)</f>
        <v>21.657887375000001</v>
      </c>
      <c r="M5" s="237">
        <v>0</v>
      </c>
      <c r="N5" s="233">
        <f>(14612.8)*1000/1000000</f>
        <v>14.6128</v>
      </c>
      <c r="O5" s="233">
        <f t="shared" ref="O5:O14" si="0">+I5+L5</f>
        <v>22.931880750000001</v>
      </c>
      <c r="P5" s="233">
        <f t="shared" ref="P5:P14" si="1">+((J5+K5)+(M5+N5))</f>
        <v>15.472799999999999</v>
      </c>
      <c r="Q5" s="233">
        <f t="shared" ref="Q5:Q14" si="2">+O5-P5</f>
        <v>7.4590807500000018</v>
      </c>
      <c r="R5" s="217" t="s">
        <v>284</v>
      </c>
      <c r="S5" s="216" t="s">
        <v>923</v>
      </c>
      <c r="T5" s="222" t="s">
        <v>282</v>
      </c>
      <c r="U5" s="222" t="s">
        <v>283</v>
      </c>
      <c r="V5" s="222"/>
    </row>
    <row r="6" spans="1:30" ht="86.45" customHeight="1" x14ac:dyDescent="0.75">
      <c r="A6" s="333"/>
      <c r="B6" s="353"/>
      <c r="C6" s="333"/>
      <c r="D6" s="354"/>
      <c r="E6" s="221"/>
      <c r="F6" s="216" t="s">
        <v>20</v>
      </c>
      <c r="G6" s="216">
        <v>51.686999999999998</v>
      </c>
      <c r="H6" s="233">
        <v>258.28650299999998</v>
      </c>
      <c r="I6" s="233">
        <f>+H6*0.005</f>
        <v>1.2914325149999999</v>
      </c>
      <c r="J6" s="233">
        <v>0</v>
      </c>
      <c r="K6" s="233">
        <f>((1020*1000)/1000000)</f>
        <v>1.02</v>
      </c>
      <c r="L6" s="233">
        <f>+H6*(8.5/100)</f>
        <v>21.954352754999999</v>
      </c>
      <c r="M6" s="237">
        <v>0</v>
      </c>
      <c r="N6" s="233">
        <f>((17337*1000)/1000000)</f>
        <v>17.337</v>
      </c>
      <c r="O6" s="233">
        <f t="shared" si="0"/>
        <v>23.245785269999999</v>
      </c>
      <c r="P6" s="233">
        <f t="shared" si="1"/>
        <v>18.356999999999999</v>
      </c>
      <c r="Q6" s="233">
        <f t="shared" si="2"/>
        <v>4.8887852699999996</v>
      </c>
      <c r="R6" s="217" t="s">
        <v>284</v>
      </c>
      <c r="S6" s="216" t="s">
        <v>924</v>
      </c>
      <c r="T6" s="222" t="s">
        <v>282</v>
      </c>
      <c r="U6" s="222" t="s">
        <v>283</v>
      </c>
      <c r="V6" s="222"/>
    </row>
    <row r="7" spans="1:30" ht="86.45" customHeight="1" x14ac:dyDescent="0.75">
      <c r="A7" s="333"/>
      <c r="B7" s="353"/>
      <c r="C7" s="333"/>
      <c r="D7" s="354"/>
      <c r="E7" s="221"/>
      <c r="F7" s="216" t="s">
        <v>21</v>
      </c>
      <c r="G7" s="216">
        <v>51.686999999999998</v>
      </c>
      <c r="H7" s="233">
        <v>284.89678600000002</v>
      </c>
      <c r="I7" s="233">
        <f>+H7*0.01</f>
        <v>2.8489678600000001</v>
      </c>
      <c r="J7" s="233">
        <v>0</v>
      </c>
      <c r="K7" s="233">
        <f>(2416*1000)/1000000</f>
        <v>2.4159999999999999</v>
      </c>
      <c r="L7" s="233">
        <f>+H7*(10/100)</f>
        <v>28.489678600000005</v>
      </c>
      <c r="M7" s="237">
        <v>0</v>
      </c>
      <c r="N7" s="233">
        <f>(24163*1000)/1000000</f>
        <v>24.163</v>
      </c>
      <c r="O7" s="233">
        <f t="shared" si="0"/>
        <v>31.338646460000007</v>
      </c>
      <c r="P7" s="233">
        <f t="shared" si="1"/>
        <v>26.579000000000001</v>
      </c>
      <c r="Q7" s="233">
        <f t="shared" si="2"/>
        <v>4.7596464600000061</v>
      </c>
      <c r="R7" s="217" t="s">
        <v>284</v>
      </c>
      <c r="S7" s="216" t="s">
        <v>925</v>
      </c>
      <c r="T7" s="222" t="s">
        <v>282</v>
      </c>
      <c r="U7" s="222" t="s">
        <v>283</v>
      </c>
      <c r="V7" s="222"/>
    </row>
    <row r="8" spans="1:30" ht="86.45" customHeight="1" x14ac:dyDescent="0.75">
      <c r="A8" s="333"/>
      <c r="B8" s="353"/>
      <c r="C8" s="333"/>
      <c r="D8" s="354"/>
      <c r="E8" s="221"/>
      <c r="F8" s="216" t="s">
        <v>22</v>
      </c>
      <c r="G8" s="223">
        <v>40</v>
      </c>
      <c r="H8" s="233">
        <f>255274934/1000000</f>
        <v>255.274934</v>
      </c>
      <c r="I8" s="233">
        <f>+H8*0.02</f>
        <v>5.1054986800000002</v>
      </c>
      <c r="J8" s="233">
        <v>0</v>
      </c>
      <c r="K8" s="233">
        <f>((3650+1227)*1000)/1000000</f>
        <v>4.8769999999999998</v>
      </c>
      <c r="L8" s="233">
        <f>+H8*(10.5/100)</f>
        <v>26.80386807</v>
      </c>
      <c r="M8" s="237">
        <v>0</v>
      </c>
      <c r="N8" s="233">
        <f>((1837+8797+11941+712+2317)*1000)/1000000</f>
        <v>25.603999999999999</v>
      </c>
      <c r="O8" s="233">
        <f t="shared" si="0"/>
        <v>31.90936675</v>
      </c>
      <c r="P8" s="233">
        <f t="shared" si="1"/>
        <v>30.480999999999998</v>
      </c>
      <c r="Q8" s="233">
        <f t="shared" si="2"/>
        <v>1.4283667500000021</v>
      </c>
      <c r="R8" s="216" t="s">
        <v>19</v>
      </c>
      <c r="S8" s="216" t="s">
        <v>23</v>
      </c>
      <c r="T8" s="222" t="s">
        <v>282</v>
      </c>
      <c r="U8" s="222" t="s">
        <v>283</v>
      </c>
      <c r="V8" s="222"/>
      <c r="W8" s="14"/>
      <c r="X8" s="14"/>
      <c r="Y8" s="14"/>
      <c r="Z8" s="14"/>
      <c r="AA8" s="14"/>
      <c r="AB8" s="14"/>
      <c r="AC8" s="14"/>
      <c r="AD8" s="14"/>
    </row>
    <row r="9" spans="1:30" ht="86.45" customHeight="1" x14ac:dyDescent="0.75">
      <c r="A9" s="333"/>
      <c r="B9" s="353"/>
      <c r="C9" s="333"/>
      <c r="D9" s="354"/>
      <c r="E9" s="221"/>
      <c r="F9" s="216" t="s">
        <v>24</v>
      </c>
      <c r="G9" s="223">
        <v>40</v>
      </c>
      <c r="H9" s="234">
        <v>292.65282500000001</v>
      </c>
      <c r="I9" s="233">
        <f>+H9*(2.75/100)</f>
        <v>8.0479526875000005</v>
      </c>
      <c r="J9" s="233">
        <v>0</v>
      </c>
      <c r="K9" s="233">
        <f>((0)*1000)/1000000</f>
        <v>0</v>
      </c>
      <c r="L9" s="233">
        <f>+H9*(11/100)</f>
        <v>32.191810750000002</v>
      </c>
      <c r="M9" s="237">
        <v>0</v>
      </c>
      <c r="N9" s="233">
        <f>((0)*1000)/1000000</f>
        <v>0</v>
      </c>
      <c r="O9" s="233">
        <f t="shared" si="0"/>
        <v>40.239763437500002</v>
      </c>
      <c r="P9" s="233">
        <f t="shared" si="1"/>
        <v>0</v>
      </c>
      <c r="Q9" s="233">
        <f t="shared" si="2"/>
        <v>40.239763437500002</v>
      </c>
      <c r="R9" s="217" t="s">
        <v>494</v>
      </c>
      <c r="S9" s="216" t="s">
        <v>26</v>
      </c>
      <c r="T9" s="222" t="s">
        <v>282</v>
      </c>
      <c r="U9" s="222" t="s">
        <v>283</v>
      </c>
      <c r="V9" s="222"/>
      <c r="W9" s="14"/>
      <c r="X9" s="14"/>
      <c r="Y9" s="14"/>
      <c r="Z9" s="14"/>
      <c r="AA9" s="14"/>
      <c r="AB9" s="14"/>
      <c r="AC9" s="14"/>
      <c r="AD9" s="14"/>
    </row>
    <row r="10" spans="1:30" s="1" customFormat="1" ht="86.45" customHeight="1" x14ac:dyDescent="0.75">
      <c r="A10" s="333"/>
      <c r="B10" s="353"/>
      <c r="C10" s="333"/>
      <c r="D10" s="354"/>
      <c r="E10" s="221"/>
      <c r="F10" s="216" t="s">
        <v>27</v>
      </c>
      <c r="G10" s="216">
        <v>40</v>
      </c>
      <c r="H10" s="233">
        <v>324.52539999999999</v>
      </c>
      <c r="I10" s="233">
        <f>+H10*(3.5/100)</f>
        <v>11.358389000000001</v>
      </c>
      <c r="J10" s="233">
        <v>0</v>
      </c>
      <c r="K10" s="233">
        <v>0</v>
      </c>
      <c r="L10" s="233">
        <f>+H10*(11.5/100)</f>
        <v>37.320421000000003</v>
      </c>
      <c r="M10" s="237">
        <v>0</v>
      </c>
      <c r="N10" s="233">
        <v>0</v>
      </c>
      <c r="O10" s="233">
        <f t="shared" si="0"/>
        <v>48.678810000000006</v>
      </c>
      <c r="P10" s="233">
        <f t="shared" si="1"/>
        <v>0</v>
      </c>
      <c r="Q10" s="233">
        <f t="shared" si="2"/>
        <v>48.678810000000006</v>
      </c>
      <c r="R10" s="217" t="s">
        <v>497</v>
      </c>
      <c r="S10" s="216" t="s">
        <v>28</v>
      </c>
      <c r="T10" s="222" t="s">
        <v>282</v>
      </c>
      <c r="U10" s="222" t="s">
        <v>283</v>
      </c>
      <c r="V10" s="222"/>
      <c r="W10" s="14"/>
      <c r="X10" s="14"/>
      <c r="Y10" s="14"/>
      <c r="Z10" s="14"/>
      <c r="AA10" s="14"/>
      <c r="AB10" s="14"/>
      <c r="AC10" s="14"/>
      <c r="AD10" s="14"/>
    </row>
    <row r="11" spans="1:30" s="1" customFormat="1" ht="86.45" customHeight="1" x14ac:dyDescent="0.75">
      <c r="A11" s="333">
        <v>2</v>
      </c>
      <c r="B11" s="353" t="s">
        <v>513</v>
      </c>
      <c r="C11" s="333" t="s">
        <v>511</v>
      </c>
      <c r="D11" s="354">
        <v>30749025370</v>
      </c>
      <c r="E11" s="221"/>
      <c r="F11" s="216" t="s">
        <v>18</v>
      </c>
      <c r="G11" s="216">
        <v>3</v>
      </c>
      <c r="H11" s="233">
        <v>1.1092</v>
      </c>
      <c r="I11" s="233">
        <f>+H11*0.005</f>
        <v>5.5459999999999997E-3</v>
      </c>
      <c r="J11" s="233">
        <v>0</v>
      </c>
      <c r="K11" s="233">
        <v>5.0000000000000001E-3</v>
      </c>
      <c r="L11" s="233">
        <f>+H11*(8.5/100)</f>
        <v>9.4282000000000005E-2</v>
      </c>
      <c r="M11" s="237">
        <v>0</v>
      </c>
      <c r="N11" s="233">
        <v>7.4999999999999997E-2</v>
      </c>
      <c r="O11" s="233">
        <f t="shared" si="0"/>
        <v>9.9828E-2</v>
      </c>
      <c r="P11" s="233">
        <f t="shared" si="1"/>
        <v>0.08</v>
      </c>
      <c r="Q11" s="233">
        <f t="shared" si="2"/>
        <v>1.9827999999999998E-2</v>
      </c>
      <c r="R11" s="217" t="s">
        <v>284</v>
      </c>
      <c r="S11" s="216" t="s">
        <v>926</v>
      </c>
      <c r="T11" s="222" t="s">
        <v>282</v>
      </c>
      <c r="U11" s="222" t="s">
        <v>283</v>
      </c>
      <c r="V11" s="222"/>
      <c r="W11" s="15"/>
      <c r="X11" s="15"/>
      <c r="Y11" s="15"/>
      <c r="Z11" s="15"/>
      <c r="AA11" s="15"/>
      <c r="AB11" s="15"/>
      <c r="AC11" s="15"/>
      <c r="AD11" s="15"/>
    </row>
    <row r="12" spans="1:30" s="3" customFormat="1" ht="86.45" customHeight="1" x14ac:dyDescent="0.75">
      <c r="A12" s="333"/>
      <c r="B12" s="353"/>
      <c r="C12" s="333"/>
      <c r="D12" s="354"/>
      <c r="E12" s="221"/>
      <c r="F12" s="216" t="s">
        <v>20</v>
      </c>
      <c r="G12" s="216">
        <v>3</v>
      </c>
      <c r="H12" s="233">
        <v>12.881535</v>
      </c>
      <c r="I12" s="233">
        <f>+H12*0.005</f>
        <v>6.4407674999999998E-2</v>
      </c>
      <c r="J12" s="233">
        <v>0</v>
      </c>
      <c r="K12" s="233">
        <f>(34+29)*1000/1000000</f>
        <v>6.3E-2</v>
      </c>
      <c r="L12" s="233">
        <f>+H12*(8.5/100)</f>
        <v>1.094930475</v>
      </c>
      <c r="M12" s="237">
        <v>0</v>
      </c>
      <c r="N12" s="233">
        <f>(563+488)*1000/1000000</f>
        <v>1.0509999999999999</v>
      </c>
      <c r="O12" s="233">
        <f t="shared" si="0"/>
        <v>1.15933815</v>
      </c>
      <c r="P12" s="233">
        <f t="shared" si="1"/>
        <v>1.1139999999999999</v>
      </c>
      <c r="Q12" s="233">
        <f t="shared" si="2"/>
        <v>4.5338150000000077E-2</v>
      </c>
      <c r="R12" s="217" t="s">
        <v>284</v>
      </c>
      <c r="S12" s="216" t="s">
        <v>927</v>
      </c>
      <c r="T12" s="222" t="s">
        <v>282</v>
      </c>
      <c r="U12" s="222" t="s">
        <v>283</v>
      </c>
      <c r="V12" s="222"/>
      <c r="W12" s="15"/>
      <c r="X12" s="15"/>
      <c r="Y12" s="15"/>
      <c r="Z12" s="15"/>
      <c r="AA12" s="15"/>
      <c r="AB12" s="15"/>
      <c r="AC12" s="15"/>
      <c r="AD12" s="15"/>
    </row>
    <row r="13" spans="1:30" s="1" customFormat="1" ht="86.45" customHeight="1" x14ac:dyDescent="0.75">
      <c r="A13" s="333">
        <v>3</v>
      </c>
      <c r="B13" s="353" t="s">
        <v>514</v>
      </c>
      <c r="C13" s="333" t="s">
        <v>511</v>
      </c>
      <c r="D13" s="354">
        <v>184029020861</v>
      </c>
      <c r="E13" s="221"/>
      <c r="F13" s="216" t="s">
        <v>18</v>
      </c>
      <c r="G13" s="216">
        <v>4.99</v>
      </c>
      <c r="H13" s="233">
        <v>11.705</v>
      </c>
      <c r="I13" s="233">
        <f>+H13*0.005</f>
        <v>5.8525000000000001E-2</v>
      </c>
      <c r="J13" s="233">
        <v>0</v>
      </c>
      <c r="K13" s="233">
        <v>4.99E-2</v>
      </c>
      <c r="L13" s="233">
        <f>+H13*(8.5/100)</f>
        <v>0.99492500000000006</v>
      </c>
      <c r="M13" s="237">
        <v>0</v>
      </c>
      <c r="N13" s="233">
        <f>(47+154+52+49+54+64+62)/1000</f>
        <v>0.48199999999999998</v>
      </c>
      <c r="O13" s="233">
        <f t="shared" si="0"/>
        <v>1.05345</v>
      </c>
      <c r="P13" s="233">
        <f t="shared" si="1"/>
        <v>0.53190000000000004</v>
      </c>
      <c r="Q13" s="233">
        <f t="shared" si="2"/>
        <v>0.52154999999999996</v>
      </c>
      <c r="R13" s="217" t="s">
        <v>284</v>
      </c>
      <c r="S13" s="216" t="s">
        <v>928</v>
      </c>
      <c r="T13" s="222" t="s">
        <v>282</v>
      </c>
      <c r="U13" s="222" t="s">
        <v>283</v>
      </c>
      <c r="V13" s="222"/>
      <c r="W13" s="15"/>
      <c r="X13" s="15"/>
      <c r="Y13" s="15"/>
      <c r="Z13" s="15"/>
      <c r="AA13" s="15"/>
      <c r="AB13" s="15"/>
      <c r="AC13" s="15"/>
      <c r="AD13" s="15"/>
    </row>
    <row r="14" spans="1:30" s="1" customFormat="1" ht="86.45" customHeight="1" x14ac:dyDescent="0.75">
      <c r="A14" s="333"/>
      <c r="B14" s="353"/>
      <c r="C14" s="333"/>
      <c r="D14" s="354"/>
      <c r="E14" s="221"/>
      <c r="F14" s="216" t="s">
        <v>20</v>
      </c>
      <c r="G14" s="216">
        <v>4.5</v>
      </c>
      <c r="H14" s="233">
        <v>17.432845</v>
      </c>
      <c r="I14" s="233">
        <f>+H14*0.005</f>
        <v>8.7164224999999998E-2</v>
      </c>
      <c r="J14" s="233">
        <v>0</v>
      </c>
      <c r="K14" s="233">
        <f>(159)*1000/1000000</f>
        <v>0.159</v>
      </c>
      <c r="L14" s="233">
        <f>+H14*(8.5/100)</f>
        <v>1.4817918250000002</v>
      </c>
      <c r="M14" s="237">
        <v>0</v>
      </c>
      <c r="N14" s="233">
        <f>(2708)*1000/1000000</f>
        <v>2.7080000000000002</v>
      </c>
      <c r="O14" s="233">
        <f t="shared" si="0"/>
        <v>1.5689560500000002</v>
      </c>
      <c r="P14" s="233">
        <f t="shared" si="1"/>
        <v>2.867</v>
      </c>
      <c r="Q14" s="233">
        <f t="shared" si="2"/>
        <v>-1.2980439499999998</v>
      </c>
      <c r="R14" s="217" t="s">
        <v>284</v>
      </c>
      <c r="S14" s="216" t="s">
        <v>929</v>
      </c>
      <c r="T14" s="222" t="s">
        <v>282</v>
      </c>
      <c r="U14" s="222" t="s">
        <v>310</v>
      </c>
      <c r="V14" s="222"/>
      <c r="W14" s="15"/>
      <c r="X14" s="15"/>
      <c r="Y14" s="15"/>
      <c r="Z14" s="15"/>
      <c r="AA14" s="15"/>
      <c r="AB14" s="15"/>
      <c r="AC14" s="15"/>
      <c r="AD14" s="15"/>
    </row>
    <row r="15" spans="1:30" s="14" customFormat="1" ht="86.45" customHeight="1" x14ac:dyDescent="0.75">
      <c r="A15" s="216">
        <v>4</v>
      </c>
      <c r="B15" s="220" t="s">
        <v>1266</v>
      </c>
      <c r="C15" s="216" t="s">
        <v>511</v>
      </c>
      <c r="D15" s="221">
        <v>267419004050</v>
      </c>
      <c r="E15" s="221"/>
      <c r="F15" s="216" t="s">
        <v>20</v>
      </c>
      <c r="G15" s="216">
        <v>1.8</v>
      </c>
      <c r="H15" s="233">
        <v>1.479336</v>
      </c>
      <c r="I15" s="233">
        <f t="shared" ref="I15:I17" si="3">+H15*0.005</f>
        <v>7.3966800000000001E-3</v>
      </c>
      <c r="J15" s="233">
        <v>0</v>
      </c>
      <c r="K15" s="233">
        <v>0</v>
      </c>
      <c r="L15" s="233">
        <f t="shared" ref="L15:L17" si="4">+H15*(8.5/100)</f>
        <v>0.12574356</v>
      </c>
      <c r="M15" s="237">
        <v>0</v>
      </c>
      <c r="N15" s="233">
        <v>0</v>
      </c>
      <c r="O15" s="233">
        <f t="shared" ref="O15:O105" si="5">+I15+L15</f>
        <v>0.13314023999999999</v>
      </c>
      <c r="P15" s="233">
        <f t="shared" ref="P15:P20" si="6">+((J15+K15)+(M15+N15))</f>
        <v>0</v>
      </c>
      <c r="Q15" s="233">
        <f t="shared" ref="Q15:Q48" si="7">+O15-P15</f>
        <v>0.13314023999999999</v>
      </c>
      <c r="R15" s="217" t="s">
        <v>19</v>
      </c>
      <c r="S15" s="216" t="s">
        <v>447</v>
      </c>
      <c r="T15" s="222" t="s">
        <v>344</v>
      </c>
      <c r="U15" s="222"/>
      <c r="V15" s="222"/>
      <c r="W15" s="15"/>
      <c r="X15" s="15"/>
      <c r="Y15" s="15"/>
      <c r="Z15" s="15"/>
      <c r="AA15" s="15"/>
      <c r="AB15" s="15"/>
      <c r="AC15" s="15"/>
      <c r="AD15" s="15"/>
    </row>
    <row r="16" spans="1:30" s="14" customFormat="1" ht="86.45" customHeight="1" x14ac:dyDescent="0.75">
      <c r="A16" s="216">
        <v>5</v>
      </c>
      <c r="B16" s="220" t="s">
        <v>1267</v>
      </c>
      <c r="C16" s="216" t="s">
        <v>511</v>
      </c>
      <c r="D16" s="221">
        <v>203509020033</v>
      </c>
      <c r="E16" s="221"/>
      <c r="F16" s="216" t="s">
        <v>20</v>
      </c>
      <c r="G16" s="216">
        <v>1.75</v>
      </c>
      <c r="H16" s="233">
        <v>3.3858199999999998</v>
      </c>
      <c r="I16" s="233">
        <f t="shared" si="3"/>
        <v>1.6929099999999999E-2</v>
      </c>
      <c r="J16" s="233">
        <v>0</v>
      </c>
      <c r="K16" s="233">
        <v>0</v>
      </c>
      <c r="L16" s="233">
        <f t="shared" si="4"/>
        <v>0.28779470000000001</v>
      </c>
      <c r="M16" s="237">
        <v>0</v>
      </c>
      <c r="N16" s="233">
        <v>0</v>
      </c>
      <c r="O16" s="233">
        <f t="shared" si="5"/>
        <v>0.30472379999999999</v>
      </c>
      <c r="P16" s="233">
        <f t="shared" si="6"/>
        <v>0</v>
      </c>
      <c r="Q16" s="233">
        <f t="shared" si="7"/>
        <v>0.30472379999999999</v>
      </c>
      <c r="R16" s="217" t="s">
        <v>19</v>
      </c>
      <c r="S16" s="216" t="s">
        <v>447</v>
      </c>
      <c r="T16" s="222" t="s">
        <v>344</v>
      </c>
      <c r="U16" s="222"/>
      <c r="V16" s="222"/>
      <c r="W16" s="15"/>
      <c r="X16" s="15"/>
      <c r="Y16" s="15"/>
      <c r="Z16" s="15"/>
      <c r="AA16" s="15"/>
      <c r="AB16" s="15"/>
      <c r="AC16" s="15"/>
      <c r="AD16" s="15"/>
    </row>
    <row r="17" spans="1:30" s="3" customFormat="1" ht="86.45" customHeight="1" x14ac:dyDescent="0.75">
      <c r="A17" s="216">
        <v>6</v>
      </c>
      <c r="B17" s="220" t="s">
        <v>1268</v>
      </c>
      <c r="C17" s="216" t="s">
        <v>515</v>
      </c>
      <c r="D17" s="221">
        <v>151890357</v>
      </c>
      <c r="E17" s="221"/>
      <c r="F17" s="216" t="s">
        <v>20</v>
      </c>
      <c r="G17" s="216">
        <v>1.75</v>
      </c>
      <c r="H17" s="233">
        <f>7184889.4/1000000</f>
        <v>7.1848894000000003</v>
      </c>
      <c r="I17" s="233">
        <f t="shared" si="3"/>
        <v>3.5924447000000005E-2</v>
      </c>
      <c r="J17" s="233">
        <v>0</v>
      </c>
      <c r="K17" s="233">
        <v>0</v>
      </c>
      <c r="L17" s="233">
        <f t="shared" si="4"/>
        <v>0.61071559900000005</v>
      </c>
      <c r="M17" s="237">
        <v>0</v>
      </c>
      <c r="N17" s="233">
        <v>0</v>
      </c>
      <c r="O17" s="233">
        <f t="shared" si="5"/>
        <v>0.64664004600000002</v>
      </c>
      <c r="P17" s="233">
        <f t="shared" si="6"/>
        <v>0</v>
      </c>
      <c r="Q17" s="233">
        <f t="shared" si="7"/>
        <v>0.64664004600000002</v>
      </c>
      <c r="R17" s="217" t="s">
        <v>30</v>
      </c>
      <c r="S17" s="216" t="s">
        <v>31</v>
      </c>
      <c r="T17" s="222" t="s">
        <v>344</v>
      </c>
      <c r="U17" s="222"/>
      <c r="V17" s="222"/>
      <c r="W17" s="15"/>
      <c r="X17" s="15"/>
      <c r="Y17" s="15"/>
      <c r="Z17" s="15"/>
      <c r="AA17" s="15"/>
      <c r="AB17" s="15"/>
      <c r="AC17" s="15"/>
      <c r="AD17" s="15"/>
    </row>
    <row r="18" spans="1:30" ht="86.45" customHeight="1" x14ac:dyDescent="0.75">
      <c r="A18" s="333">
        <v>7</v>
      </c>
      <c r="B18" s="353" t="s">
        <v>519</v>
      </c>
      <c r="C18" s="333" t="s">
        <v>511</v>
      </c>
      <c r="D18" s="354">
        <v>170149022800</v>
      </c>
      <c r="E18" s="221"/>
      <c r="F18" s="216" t="s">
        <v>18</v>
      </c>
      <c r="G18" s="216">
        <v>2.5</v>
      </c>
      <c r="H18" s="233">
        <v>9.3510980000000004</v>
      </c>
      <c r="I18" s="233">
        <f>+H18*0.005</f>
        <v>4.6755490000000004E-2</v>
      </c>
      <c r="J18" s="233">
        <v>0</v>
      </c>
      <c r="K18" s="233">
        <f>(3+3+3+1)*1000/1000000</f>
        <v>0.01</v>
      </c>
      <c r="L18" s="233">
        <f>+H18*(8.5/100)</f>
        <v>0.79484333000000007</v>
      </c>
      <c r="M18" s="237">
        <v>0</v>
      </c>
      <c r="N18" s="233">
        <f>(60+57+38+25)*1000/1000000</f>
        <v>0.18</v>
      </c>
      <c r="O18" s="233">
        <f t="shared" si="5"/>
        <v>0.84159882000000008</v>
      </c>
      <c r="P18" s="233">
        <f t="shared" si="6"/>
        <v>0.19</v>
      </c>
      <c r="Q18" s="233">
        <f t="shared" si="7"/>
        <v>0.65159882000000002</v>
      </c>
      <c r="R18" s="217" t="s">
        <v>284</v>
      </c>
      <c r="S18" s="216" t="s">
        <v>930</v>
      </c>
      <c r="T18" s="222" t="s">
        <v>282</v>
      </c>
      <c r="U18" s="222" t="s">
        <v>283</v>
      </c>
      <c r="V18" s="222"/>
    </row>
    <row r="19" spans="1:30" ht="86.45" customHeight="1" x14ac:dyDescent="0.75">
      <c r="A19" s="333"/>
      <c r="B19" s="353"/>
      <c r="C19" s="333"/>
      <c r="D19" s="354"/>
      <c r="E19" s="221"/>
      <c r="F19" s="216" t="s">
        <v>20</v>
      </c>
      <c r="G19" s="216">
        <v>1</v>
      </c>
      <c r="H19" s="233">
        <v>10.156370000000001</v>
      </c>
      <c r="I19" s="233">
        <f>+H19*0.005</f>
        <v>5.0781850000000003E-2</v>
      </c>
      <c r="J19" s="233">
        <v>0</v>
      </c>
      <c r="K19" s="233">
        <v>5.0999999999999997E-2</v>
      </c>
      <c r="L19" s="233">
        <f>+H19*(8.5/100)</f>
        <v>0.86329145000000018</v>
      </c>
      <c r="M19" s="237">
        <v>0</v>
      </c>
      <c r="N19" s="233">
        <v>0.86399999999999999</v>
      </c>
      <c r="O19" s="233">
        <f t="shared" si="5"/>
        <v>0.9140733000000002</v>
      </c>
      <c r="P19" s="233">
        <f t="shared" si="6"/>
        <v>0.91500000000000004</v>
      </c>
      <c r="Q19" s="233">
        <f t="shared" si="7"/>
        <v>-9.2669999999983599E-4</v>
      </c>
      <c r="R19" s="217" t="s">
        <v>284</v>
      </c>
      <c r="S19" s="216" t="s">
        <v>931</v>
      </c>
      <c r="T19" s="222" t="s">
        <v>282</v>
      </c>
      <c r="U19" s="222" t="s">
        <v>310</v>
      </c>
      <c r="V19" s="222"/>
    </row>
    <row r="20" spans="1:30" ht="86.45" customHeight="1" x14ac:dyDescent="0.75">
      <c r="A20" s="216">
        <v>8</v>
      </c>
      <c r="B20" s="220" t="s">
        <v>520</v>
      </c>
      <c r="C20" s="216" t="s">
        <v>511</v>
      </c>
      <c r="D20" s="221">
        <v>255619050520</v>
      </c>
      <c r="E20" s="221"/>
      <c r="F20" s="216" t="s">
        <v>20</v>
      </c>
      <c r="G20" s="216">
        <v>1.3</v>
      </c>
      <c r="H20" s="233">
        <v>0.90138399999999996</v>
      </c>
      <c r="I20" s="233">
        <f>+H20*0.005</f>
        <v>4.5069200000000002E-3</v>
      </c>
      <c r="J20" s="233">
        <v>0</v>
      </c>
      <c r="K20" s="233">
        <f>((4)*1000)/1000000</f>
        <v>4.0000000000000001E-3</v>
      </c>
      <c r="L20" s="233">
        <f>+H20*(8.5/100)</f>
        <v>7.6617640000000001E-2</v>
      </c>
      <c r="M20" s="237">
        <v>0</v>
      </c>
      <c r="N20" s="233">
        <f>((69)*1000)/1000000</f>
        <v>6.9000000000000006E-2</v>
      </c>
      <c r="O20" s="233">
        <f t="shared" si="5"/>
        <v>8.1124559999999998E-2</v>
      </c>
      <c r="P20" s="233">
        <f t="shared" si="6"/>
        <v>7.3000000000000009E-2</v>
      </c>
      <c r="Q20" s="233">
        <f t="shared" si="7"/>
        <v>8.124559999999989E-3</v>
      </c>
      <c r="R20" s="217" t="s">
        <v>284</v>
      </c>
      <c r="S20" s="216" t="s">
        <v>932</v>
      </c>
      <c r="T20" s="222" t="s">
        <v>282</v>
      </c>
      <c r="U20" s="222" t="s">
        <v>283</v>
      </c>
      <c r="V20" s="222"/>
    </row>
    <row r="21" spans="1:30" ht="86.45" customHeight="1" x14ac:dyDescent="0.75">
      <c r="A21" s="333">
        <v>9</v>
      </c>
      <c r="B21" s="353" t="s">
        <v>1269</v>
      </c>
      <c r="C21" s="333" t="s">
        <v>511</v>
      </c>
      <c r="D21" s="354">
        <v>184819020021</v>
      </c>
      <c r="E21" s="221"/>
      <c r="F21" s="216" t="s">
        <v>18</v>
      </c>
      <c r="G21" s="216">
        <v>10</v>
      </c>
      <c r="H21" s="233">
        <v>30.939889999999998</v>
      </c>
      <c r="I21" s="233">
        <f>+H21*0.005</f>
        <v>0.15469944999999999</v>
      </c>
      <c r="J21" s="233">
        <v>0</v>
      </c>
      <c r="K21" s="233">
        <f>(65+83)/1000</f>
        <v>0.14799999999999999</v>
      </c>
      <c r="L21" s="233">
        <f>+H21*(8.5/100)</f>
        <v>2.6298906500000001</v>
      </c>
      <c r="M21" s="237">
        <v>0</v>
      </c>
      <c r="N21" s="233">
        <f>(1093+1416)/1000</f>
        <v>2.5089999999999999</v>
      </c>
      <c r="O21" s="233">
        <f>+I21+L21</f>
        <v>2.7845901</v>
      </c>
      <c r="P21" s="233">
        <f>+((J21+K21)+(M21+N21))</f>
        <v>2.657</v>
      </c>
      <c r="Q21" s="233">
        <f>+O21-P21</f>
        <v>0.12759009999999993</v>
      </c>
      <c r="R21" s="217" t="s">
        <v>307</v>
      </c>
      <c r="S21" s="216" t="s">
        <v>933</v>
      </c>
      <c r="T21" s="222" t="s">
        <v>282</v>
      </c>
      <c r="U21" s="222" t="s">
        <v>283</v>
      </c>
      <c r="V21" s="222"/>
    </row>
    <row r="22" spans="1:30" ht="86.45" customHeight="1" x14ac:dyDescent="0.75">
      <c r="A22" s="333"/>
      <c r="B22" s="353"/>
      <c r="C22" s="333"/>
      <c r="D22" s="354"/>
      <c r="E22" s="221"/>
      <c r="F22" s="216" t="s">
        <v>20</v>
      </c>
      <c r="G22" s="216">
        <v>11</v>
      </c>
      <c r="H22" s="233">
        <v>87.584294999999997</v>
      </c>
      <c r="I22" s="233">
        <f>+H22*0.005</f>
        <v>0.437921475</v>
      </c>
      <c r="J22" s="233">
        <v>0</v>
      </c>
      <c r="K22" s="233">
        <v>0.504</v>
      </c>
      <c r="L22" s="233">
        <f>+H22*(8.5/100)</f>
        <v>7.4446650750000005</v>
      </c>
      <c r="M22" s="237">
        <v>0</v>
      </c>
      <c r="N22" s="233">
        <v>8.5690000000000008</v>
      </c>
      <c r="O22" s="233">
        <f>+I22+L22</f>
        <v>7.882586550000001</v>
      </c>
      <c r="P22" s="233">
        <f>+((J22+K22)+(M22+N22))</f>
        <v>9.0730000000000004</v>
      </c>
      <c r="Q22" s="233">
        <f>+O22-P22</f>
        <v>-1.1904134499999994</v>
      </c>
      <c r="R22" s="217" t="s">
        <v>284</v>
      </c>
      <c r="S22" s="216" t="s">
        <v>934</v>
      </c>
      <c r="T22" s="222" t="s">
        <v>282</v>
      </c>
      <c r="U22" s="222" t="s">
        <v>310</v>
      </c>
      <c r="V22" s="222"/>
    </row>
    <row r="23" spans="1:30" ht="86.45" customHeight="1" x14ac:dyDescent="0.75">
      <c r="A23" s="333"/>
      <c r="B23" s="353"/>
      <c r="C23" s="333"/>
      <c r="D23" s="354"/>
      <c r="E23" s="221"/>
      <c r="F23" s="216" t="s">
        <v>21</v>
      </c>
      <c r="G23" s="216">
        <v>12</v>
      </c>
      <c r="H23" s="233">
        <v>79.052387999999993</v>
      </c>
      <c r="I23" s="233">
        <f>+H23*0.01</f>
        <v>0.79052387999999996</v>
      </c>
      <c r="J23" s="233">
        <v>0</v>
      </c>
      <c r="K23" s="233">
        <f>((386+378)*1000)/1000000</f>
        <v>0.76400000000000001</v>
      </c>
      <c r="L23" s="233">
        <f>+H23*(10/100)</f>
        <v>7.9052387999999993</v>
      </c>
      <c r="M23" s="237">
        <v>0</v>
      </c>
      <c r="N23" s="233">
        <f>((3845+3755)*1000)/1000000</f>
        <v>7.6</v>
      </c>
      <c r="O23" s="233">
        <f>+I23+L23</f>
        <v>8.6957626799999996</v>
      </c>
      <c r="P23" s="233">
        <f>+((J23+K23)+(M23+N23))</f>
        <v>8.363999999999999</v>
      </c>
      <c r="Q23" s="233">
        <f>+O23-P23</f>
        <v>0.33176268000000064</v>
      </c>
      <c r="R23" s="217" t="s">
        <v>284</v>
      </c>
      <c r="S23" s="216" t="s">
        <v>935</v>
      </c>
      <c r="T23" s="222" t="s">
        <v>282</v>
      </c>
      <c r="U23" s="222" t="s">
        <v>283</v>
      </c>
      <c r="V23" s="222"/>
    </row>
    <row r="24" spans="1:30" ht="86.45" customHeight="1" x14ac:dyDescent="0.75">
      <c r="A24" s="333"/>
      <c r="B24" s="353"/>
      <c r="C24" s="333"/>
      <c r="D24" s="354"/>
      <c r="E24" s="221"/>
      <c r="F24" s="216" t="s">
        <v>22</v>
      </c>
      <c r="G24" s="216">
        <v>8.5</v>
      </c>
      <c r="H24" s="233">
        <f>(33778790)/1000000</f>
        <v>33.778790000000001</v>
      </c>
      <c r="I24" s="233">
        <f>+H24*0.02</f>
        <v>0.67557580000000006</v>
      </c>
      <c r="J24" s="233">
        <v>0</v>
      </c>
      <c r="K24" s="233">
        <v>0</v>
      </c>
      <c r="L24" s="233">
        <f>+H24*(10.5/100)</f>
        <v>3.5467729499999998</v>
      </c>
      <c r="M24" s="237">
        <v>0</v>
      </c>
      <c r="N24" s="233">
        <v>0</v>
      </c>
      <c r="O24" s="233">
        <f>+I24+L24</f>
        <v>4.2223487500000001</v>
      </c>
      <c r="P24" s="233">
        <f>J24+K24+M24+N24</f>
        <v>0</v>
      </c>
      <c r="Q24" s="233">
        <f>+O24-P24</f>
        <v>4.2223487500000001</v>
      </c>
      <c r="R24" s="216" t="s">
        <v>284</v>
      </c>
      <c r="S24" s="217" t="s">
        <v>58</v>
      </c>
      <c r="T24" s="222" t="s">
        <v>282</v>
      </c>
      <c r="U24" s="222" t="s">
        <v>283</v>
      </c>
      <c r="V24" s="222"/>
      <c r="W24" s="14"/>
      <c r="X24" s="14"/>
      <c r="Y24" s="14"/>
      <c r="Z24" s="14"/>
      <c r="AA24" s="14"/>
      <c r="AB24" s="14"/>
      <c r="AC24" s="14"/>
      <c r="AD24" s="14"/>
    </row>
    <row r="25" spans="1:30" ht="86.45" customHeight="1" x14ac:dyDescent="0.75">
      <c r="A25" s="333"/>
      <c r="B25" s="353"/>
      <c r="C25" s="333"/>
      <c r="D25" s="354"/>
      <c r="E25" s="221"/>
      <c r="F25" s="216" t="s">
        <v>24</v>
      </c>
      <c r="G25" s="216">
        <v>10</v>
      </c>
      <c r="H25" s="233">
        <v>8.1815999999999995</v>
      </c>
      <c r="I25" s="233">
        <f>+H25*(2.75/100)</f>
        <v>0.224994</v>
      </c>
      <c r="J25" s="233">
        <v>0</v>
      </c>
      <c r="K25" s="234">
        <f>((200+32)*1000)/1000000</f>
        <v>0.23200000000000001</v>
      </c>
      <c r="L25" s="233">
        <f>+H25*(11/100)</f>
        <v>0.899976</v>
      </c>
      <c r="M25" s="237">
        <v>0</v>
      </c>
      <c r="N25" s="233">
        <f>((900+20)*1000)/1000000</f>
        <v>0.92</v>
      </c>
      <c r="O25" s="233">
        <f>+I25+L25</f>
        <v>1.12497</v>
      </c>
      <c r="P25" s="233">
        <f>J25+K25+M25+N25</f>
        <v>1.1520000000000001</v>
      </c>
      <c r="Q25" s="233">
        <f>+O25-P25</f>
        <v>-2.7030000000000109E-2</v>
      </c>
      <c r="R25" s="217" t="s">
        <v>494</v>
      </c>
      <c r="S25" s="216" t="s">
        <v>57</v>
      </c>
      <c r="T25" s="222" t="s">
        <v>282</v>
      </c>
      <c r="U25" s="222" t="s">
        <v>310</v>
      </c>
      <c r="V25" s="222"/>
      <c r="W25" s="14"/>
      <c r="X25" s="14"/>
      <c r="Y25" s="14"/>
      <c r="Z25" s="14"/>
      <c r="AA25" s="14"/>
      <c r="AB25" s="14"/>
      <c r="AC25" s="14"/>
      <c r="AD25" s="14"/>
    </row>
    <row r="26" spans="1:30" ht="86.45" customHeight="1" x14ac:dyDescent="0.75">
      <c r="A26" s="333"/>
      <c r="B26" s="353"/>
      <c r="C26" s="333"/>
      <c r="D26" s="354"/>
      <c r="E26" s="221"/>
      <c r="F26" s="216" t="s">
        <v>27</v>
      </c>
      <c r="G26" s="223">
        <v>25</v>
      </c>
      <c r="H26" s="234">
        <v>51.961103999999999</v>
      </c>
      <c r="I26" s="234">
        <f>+H26*(3.5/100)</f>
        <v>1.8186386400000001</v>
      </c>
      <c r="J26" s="234">
        <v>0</v>
      </c>
      <c r="K26" s="234">
        <f>((48+80)*1000)/1000000</f>
        <v>0.128</v>
      </c>
      <c r="L26" s="234">
        <f>+H26*(11.5/100)</f>
        <v>5.9755269599999998</v>
      </c>
      <c r="M26" s="238">
        <v>0</v>
      </c>
      <c r="N26" s="234">
        <f>((2160)*1000)/1000000</f>
        <v>2.16</v>
      </c>
      <c r="O26" s="234">
        <f t="shared" si="5"/>
        <v>7.7941655999999995</v>
      </c>
      <c r="P26" s="234">
        <f>J26+K26+M26+N26</f>
        <v>2.2880000000000003</v>
      </c>
      <c r="Q26" s="234">
        <f t="shared" si="7"/>
        <v>5.5061655999999992</v>
      </c>
      <c r="R26" s="217" t="s">
        <v>497</v>
      </c>
      <c r="S26" s="216" t="s">
        <v>32</v>
      </c>
      <c r="T26" s="222" t="s">
        <v>282</v>
      </c>
      <c r="U26" s="222" t="s">
        <v>283</v>
      </c>
      <c r="V26" s="222"/>
      <c r="W26" s="14"/>
      <c r="X26" s="14"/>
      <c r="Y26" s="14"/>
      <c r="Z26" s="14"/>
      <c r="AA26" s="14"/>
      <c r="AB26" s="14"/>
      <c r="AC26" s="14"/>
      <c r="AD26" s="14"/>
    </row>
    <row r="27" spans="1:30" s="244" customFormat="1" ht="86.45" customHeight="1" x14ac:dyDescent="0.75">
      <c r="A27" s="330">
        <v>10</v>
      </c>
      <c r="B27" s="324" t="s">
        <v>522</v>
      </c>
      <c r="C27" s="330" t="s">
        <v>511</v>
      </c>
      <c r="D27" s="347">
        <v>251019402391</v>
      </c>
      <c r="E27" s="347" t="s">
        <v>1298</v>
      </c>
      <c r="F27" s="247" t="s">
        <v>18</v>
      </c>
      <c r="G27" s="216">
        <v>3.5</v>
      </c>
      <c r="H27" s="233">
        <v>16.643832</v>
      </c>
      <c r="I27" s="233">
        <f t="shared" ref="I27:I48" si="8">+H27*0.005</f>
        <v>8.321916E-2</v>
      </c>
      <c r="J27" s="233">
        <v>0</v>
      </c>
      <c r="K27" s="233">
        <f>(49+12+14)*1000/1000000</f>
        <v>7.4999999999999997E-2</v>
      </c>
      <c r="L27" s="233">
        <f t="shared" ref="L27:L48" si="9">+H27*(8.5/100)</f>
        <v>1.4147257200000001</v>
      </c>
      <c r="M27" s="237">
        <v>0</v>
      </c>
      <c r="N27" s="233">
        <f>(847+200+220)*1000/1000000</f>
        <v>1.2669999999999999</v>
      </c>
      <c r="O27" s="233">
        <f t="shared" si="5"/>
        <v>1.4979448800000001</v>
      </c>
      <c r="P27" s="233">
        <f t="shared" ref="P27:P52" si="10">+((J27+K27)+(M27+N27))</f>
        <v>1.3419999999999999</v>
      </c>
      <c r="Q27" s="233">
        <f t="shared" si="7"/>
        <v>0.15594488000000029</v>
      </c>
      <c r="R27" s="217" t="s">
        <v>277</v>
      </c>
      <c r="S27" s="216" t="s">
        <v>936</v>
      </c>
      <c r="T27" s="243" t="s">
        <v>282</v>
      </c>
      <c r="U27" s="243" t="s">
        <v>283</v>
      </c>
      <c r="V27" s="243"/>
    </row>
    <row r="28" spans="1:30" s="244" customFormat="1" ht="86.45" customHeight="1" x14ac:dyDescent="0.75">
      <c r="A28" s="331"/>
      <c r="B28" s="325"/>
      <c r="C28" s="331"/>
      <c r="D28" s="349"/>
      <c r="E28" s="348"/>
      <c r="F28" s="247" t="s">
        <v>20</v>
      </c>
      <c r="G28" s="216">
        <v>3.4</v>
      </c>
      <c r="H28" s="233">
        <v>33.778351999999998</v>
      </c>
      <c r="I28" s="233">
        <f t="shared" si="8"/>
        <v>0.16889176</v>
      </c>
      <c r="J28" s="233">
        <v>0</v>
      </c>
      <c r="K28" s="233">
        <f>(18+14+108+30)*1000/1000000</f>
        <v>0.17</v>
      </c>
      <c r="L28" s="233">
        <f t="shared" si="9"/>
        <v>2.8711599200000002</v>
      </c>
      <c r="M28" s="237">
        <v>0</v>
      </c>
      <c r="N28" s="233">
        <f>(300+220+1852+500)*1000/1000000</f>
        <v>2.8719999999999999</v>
      </c>
      <c r="O28" s="233">
        <f t="shared" si="5"/>
        <v>3.0400516800000004</v>
      </c>
      <c r="P28" s="233">
        <f t="shared" si="10"/>
        <v>3.0419999999999998</v>
      </c>
      <c r="Q28" s="233">
        <f t="shared" si="7"/>
        <v>-1.9483199999994483E-3</v>
      </c>
      <c r="R28" s="217" t="s">
        <v>284</v>
      </c>
      <c r="S28" s="216" t="s">
        <v>937</v>
      </c>
      <c r="T28" s="243" t="s">
        <v>282</v>
      </c>
      <c r="U28" s="243" t="s">
        <v>310</v>
      </c>
      <c r="V28" s="243"/>
    </row>
    <row r="29" spans="1:30" s="244" customFormat="1" ht="86.45" customHeight="1" x14ac:dyDescent="0.75">
      <c r="A29" s="331"/>
      <c r="B29" s="325"/>
      <c r="C29" s="331"/>
      <c r="D29" s="349"/>
      <c r="E29" s="350" t="s">
        <v>1343</v>
      </c>
      <c r="F29" s="254" t="s">
        <v>18</v>
      </c>
      <c r="G29" s="254"/>
      <c r="H29" s="357" t="s">
        <v>1419</v>
      </c>
      <c r="I29" s="358"/>
      <c r="J29" s="358"/>
      <c r="K29" s="358"/>
      <c r="L29" s="358"/>
      <c r="M29" s="358"/>
      <c r="N29" s="358"/>
      <c r="O29" s="358"/>
      <c r="P29" s="358"/>
      <c r="Q29" s="358"/>
      <c r="R29" s="358"/>
      <c r="S29" s="359"/>
      <c r="T29" s="243"/>
      <c r="U29" s="243"/>
      <c r="V29" s="243"/>
    </row>
    <row r="30" spans="1:30" s="244" customFormat="1" ht="86.45" customHeight="1" x14ac:dyDescent="0.75">
      <c r="A30" s="332"/>
      <c r="B30" s="326"/>
      <c r="C30" s="332"/>
      <c r="D30" s="348"/>
      <c r="E30" s="352"/>
      <c r="F30" s="254" t="s">
        <v>20</v>
      </c>
      <c r="G30" s="254">
        <v>3.5</v>
      </c>
      <c r="H30" s="255">
        <v>33.767198999999998</v>
      </c>
      <c r="I30" s="255">
        <v>0.16883600000000001</v>
      </c>
      <c r="J30" s="255">
        <v>0</v>
      </c>
      <c r="K30" s="255">
        <v>0.17</v>
      </c>
      <c r="L30" s="255">
        <v>2.870212</v>
      </c>
      <c r="M30" s="256">
        <v>0</v>
      </c>
      <c r="N30" s="255">
        <v>2.8719999999999999</v>
      </c>
      <c r="O30" s="255">
        <v>3.0390480000000002</v>
      </c>
      <c r="P30" s="255">
        <v>3.0419999999999998</v>
      </c>
      <c r="Q30" s="255">
        <v>-3.0000000000000001E-3</v>
      </c>
      <c r="R30" s="258"/>
      <c r="S30" s="254"/>
      <c r="T30" s="243"/>
      <c r="U30" s="243"/>
      <c r="V30" s="243"/>
    </row>
    <row r="31" spans="1:30" s="244" customFormat="1" ht="86.45" customHeight="1" x14ac:dyDescent="0.75">
      <c r="A31" s="324">
        <v>11</v>
      </c>
      <c r="B31" s="324" t="s">
        <v>1418</v>
      </c>
      <c r="C31" s="330" t="s">
        <v>511</v>
      </c>
      <c r="D31" s="347">
        <v>28619019069</v>
      </c>
      <c r="E31" s="347" t="s">
        <v>1298</v>
      </c>
      <c r="F31" s="216" t="s">
        <v>18</v>
      </c>
      <c r="G31" s="216">
        <v>3</v>
      </c>
      <c r="H31" s="233">
        <v>16.096392000000002</v>
      </c>
      <c r="I31" s="233">
        <f t="shared" si="8"/>
        <v>8.0481960000000005E-2</v>
      </c>
      <c r="J31" s="233">
        <v>0</v>
      </c>
      <c r="K31" s="233">
        <f>((61+14)*1000/1000000)</f>
        <v>7.4999999999999997E-2</v>
      </c>
      <c r="L31" s="233">
        <f t="shared" si="9"/>
        <v>1.3681933200000003</v>
      </c>
      <c r="M31" s="237">
        <v>0</v>
      </c>
      <c r="N31" s="233">
        <f>((1043+216)*1000/1000000)</f>
        <v>1.2589999999999999</v>
      </c>
      <c r="O31" s="233">
        <f t="shared" si="5"/>
        <v>1.4486752800000002</v>
      </c>
      <c r="P31" s="233">
        <f t="shared" si="10"/>
        <v>1.3339999999999999</v>
      </c>
      <c r="Q31" s="233">
        <f t="shared" si="7"/>
        <v>0.11467528000000038</v>
      </c>
      <c r="R31" s="217" t="s">
        <v>284</v>
      </c>
      <c r="S31" s="216" t="s">
        <v>938</v>
      </c>
      <c r="T31" s="243" t="s">
        <v>282</v>
      </c>
      <c r="U31" s="243" t="s">
        <v>283</v>
      </c>
      <c r="V31" s="243"/>
    </row>
    <row r="32" spans="1:30" s="244" customFormat="1" ht="86.45" customHeight="1" x14ac:dyDescent="0.75">
      <c r="A32" s="325"/>
      <c r="B32" s="325"/>
      <c r="C32" s="331"/>
      <c r="D32" s="349"/>
      <c r="E32" s="348"/>
      <c r="F32" s="216" t="s">
        <v>20</v>
      </c>
      <c r="G32" s="216">
        <v>3</v>
      </c>
      <c r="H32" s="233">
        <v>16.670323</v>
      </c>
      <c r="I32" s="233">
        <f t="shared" si="8"/>
        <v>8.3351615000000004E-2</v>
      </c>
      <c r="J32" s="233">
        <v>0</v>
      </c>
      <c r="K32" s="233">
        <v>8.4000000000000005E-2</v>
      </c>
      <c r="L32" s="233">
        <f t="shared" si="9"/>
        <v>1.4169774550000001</v>
      </c>
      <c r="M32" s="237">
        <v>0</v>
      </c>
      <c r="N32" s="233">
        <v>1.41</v>
      </c>
      <c r="O32" s="233">
        <f t="shared" si="5"/>
        <v>1.50032907</v>
      </c>
      <c r="P32" s="233">
        <f t="shared" si="10"/>
        <v>1.494</v>
      </c>
      <c r="Q32" s="233">
        <f t="shared" si="7"/>
        <v>6.3290700000000477E-3</v>
      </c>
      <c r="R32" s="217" t="s">
        <v>307</v>
      </c>
      <c r="S32" s="216" t="s">
        <v>939</v>
      </c>
      <c r="T32" s="243" t="s">
        <v>282</v>
      </c>
      <c r="U32" s="243" t="s">
        <v>283</v>
      </c>
      <c r="V32" s="243"/>
    </row>
    <row r="33" spans="1:22" s="244" customFormat="1" ht="86.45" customHeight="1" x14ac:dyDescent="0.75">
      <c r="A33" s="325"/>
      <c r="B33" s="325"/>
      <c r="C33" s="331"/>
      <c r="D33" s="349"/>
      <c r="E33" s="351" t="s">
        <v>1417</v>
      </c>
      <c r="F33" s="254" t="s">
        <v>18</v>
      </c>
      <c r="G33" s="254">
        <v>3</v>
      </c>
      <c r="H33" s="255">
        <v>14.803000000000001</v>
      </c>
      <c r="I33" s="255">
        <v>7.3999999999999996E-2</v>
      </c>
      <c r="J33" s="255">
        <v>0</v>
      </c>
      <c r="K33" s="255">
        <v>7.4999999999999997E-2</v>
      </c>
      <c r="L33" s="255">
        <v>1.258</v>
      </c>
      <c r="M33" s="256">
        <v>0</v>
      </c>
      <c r="N33" s="255">
        <v>1.2589999999999999</v>
      </c>
      <c r="O33" s="255">
        <v>1.3320000000000001</v>
      </c>
      <c r="P33" s="255">
        <v>1.3340000000000001</v>
      </c>
      <c r="Q33" s="255">
        <f t="shared" si="7"/>
        <v>-2.0000000000000018E-3</v>
      </c>
      <c r="R33" s="258"/>
      <c r="S33" s="254"/>
      <c r="T33" s="243"/>
      <c r="U33" s="243"/>
      <c r="V33" s="243"/>
    </row>
    <row r="34" spans="1:22" s="244" customFormat="1" ht="86.45" customHeight="1" x14ac:dyDescent="0.75">
      <c r="A34" s="325"/>
      <c r="B34" s="325"/>
      <c r="C34" s="331"/>
      <c r="D34" s="349"/>
      <c r="E34" s="351"/>
      <c r="F34" s="254" t="s">
        <v>20</v>
      </c>
      <c r="G34" s="254">
        <v>3</v>
      </c>
      <c r="H34" s="255">
        <v>14.968999999999999</v>
      </c>
      <c r="I34" s="255">
        <v>7.4999999999999997E-2</v>
      </c>
      <c r="J34" s="255">
        <v>0</v>
      </c>
      <c r="K34" s="255">
        <v>8.4000000000000005E-2</v>
      </c>
      <c r="L34" s="255">
        <v>1.272</v>
      </c>
      <c r="M34" s="256">
        <v>0</v>
      </c>
      <c r="N34" s="255">
        <v>1.4179999999999999</v>
      </c>
      <c r="O34" s="255">
        <v>1.347</v>
      </c>
      <c r="P34" s="255">
        <v>1.502</v>
      </c>
      <c r="Q34" s="255">
        <f t="shared" si="7"/>
        <v>-0.15500000000000003</v>
      </c>
      <c r="R34" s="258"/>
      <c r="S34" s="254"/>
      <c r="T34" s="243"/>
      <c r="U34" s="243"/>
      <c r="V34" s="243"/>
    </row>
    <row r="35" spans="1:22" ht="86.45" customHeight="1" x14ac:dyDescent="0.75">
      <c r="A35" s="333">
        <v>12</v>
      </c>
      <c r="B35" s="353" t="s">
        <v>523</v>
      </c>
      <c r="C35" s="333" t="s">
        <v>511</v>
      </c>
      <c r="D35" s="354">
        <v>31699025120</v>
      </c>
      <c r="E35" s="221"/>
      <c r="F35" s="216" t="s">
        <v>18</v>
      </c>
      <c r="G35" s="216">
        <v>3</v>
      </c>
      <c r="H35" s="233">
        <v>24.735600000000002</v>
      </c>
      <c r="I35" s="233">
        <f t="shared" si="8"/>
        <v>0.12367800000000001</v>
      </c>
      <c r="J35" s="233">
        <v>0</v>
      </c>
      <c r="K35" s="233">
        <f>(20+11+10+15+11+11+14+10+16)/1000</f>
        <v>0.11799999999999999</v>
      </c>
      <c r="L35" s="233">
        <f t="shared" si="9"/>
        <v>2.1025260000000001</v>
      </c>
      <c r="M35" s="237">
        <v>0</v>
      </c>
      <c r="N35" s="233">
        <f>(354+189+170+249+182+186+250+170+253)/1000</f>
        <v>2.0030000000000001</v>
      </c>
      <c r="O35" s="233">
        <f t="shared" si="5"/>
        <v>2.2262040000000001</v>
      </c>
      <c r="P35" s="233">
        <f t="shared" si="10"/>
        <v>2.121</v>
      </c>
      <c r="Q35" s="233">
        <f t="shared" si="7"/>
        <v>0.10520400000000008</v>
      </c>
      <c r="R35" s="217" t="s">
        <v>284</v>
      </c>
      <c r="S35" s="216" t="s">
        <v>940</v>
      </c>
      <c r="T35" s="222" t="s">
        <v>282</v>
      </c>
      <c r="U35" s="222" t="s">
        <v>283</v>
      </c>
      <c r="V35" s="222"/>
    </row>
    <row r="36" spans="1:22" ht="86.45" customHeight="1" x14ac:dyDescent="0.75">
      <c r="A36" s="333"/>
      <c r="B36" s="353"/>
      <c r="C36" s="333"/>
      <c r="D36" s="354"/>
      <c r="E36" s="221"/>
      <c r="F36" s="216" t="s">
        <v>20</v>
      </c>
      <c r="G36" s="216">
        <v>4</v>
      </c>
      <c r="H36" s="233">
        <v>36.522095</v>
      </c>
      <c r="I36" s="233">
        <f t="shared" si="8"/>
        <v>0.18261047499999999</v>
      </c>
      <c r="J36" s="233">
        <v>0</v>
      </c>
      <c r="K36" s="233">
        <f>(((99+10)*1000)/1000000)</f>
        <v>0.109</v>
      </c>
      <c r="L36" s="233">
        <f t="shared" si="9"/>
        <v>3.1043780750000001</v>
      </c>
      <c r="M36" s="237">
        <v>0</v>
      </c>
      <c r="N36" s="233">
        <f>(((2690+259+156)*1000)/1000000)</f>
        <v>3.105</v>
      </c>
      <c r="O36" s="233">
        <f t="shared" si="5"/>
        <v>3.2869885500000002</v>
      </c>
      <c r="P36" s="233">
        <f t="shared" si="10"/>
        <v>3.214</v>
      </c>
      <c r="Q36" s="233">
        <f t="shared" si="7"/>
        <v>7.2988550000000263E-2</v>
      </c>
      <c r="R36" s="217" t="s">
        <v>385</v>
      </c>
      <c r="S36" s="216" t="s">
        <v>939</v>
      </c>
      <c r="T36" s="222" t="s">
        <v>282</v>
      </c>
      <c r="U36" s="222" t="s">
        <v>283</v>
      </c>
      <c r="V36" s="222"/>
    </row>
    <row r="37" spans="1:22" ht="86.45" customHeight="1" x14ac:dyDescent="0.75">
      <c r="A37" s="216">
        <v>13</v>
      </c>
      <c r="B37" s="220" t="s">
        <v>1270</v>
      </c>
      <c r="C37" s="216" t="s">
        <v>511</v>
      </c>
      <c r="D37" s="221">
        <v>203759022000</v>
      </c>
      <c r="E37" s="221"/>
      <c r="F37" s="216" t="s">
        <v>20</v>
      </c>
      <c r="G37" s="216">
        <v>1</v>
      </c>
      <c r="H37" s="233">
        <v>0.82360800000000001</v>
      </c>
      <c r="I37" s="233">
        <f t="shared" si="8"/>
        <v>4.1180399999999999E-3</v>
      </c>
      <c r="J37" s="233">
        <v>0</v>
      </c>
      <c r="K37" s="233">
        <v>0</v>
      </c>
      <c r="L37" s="233">
        <f t="shared" si="9"/>
        <v>7.0006680000000002E-2</v>
      </c>
      <c r="M37" s="237">
        <v>0</v>
      </c>
      <c r="N37" s="233">
        <v>0</v>
      </c>
      <c r="O37" s="233">
        <f t="shared" si="5"/>
        <v>7.4124720000000005E-2</v>
      </c>
      <c r="P37" s="233">
        <f t="shared" si="10"/>
        <v>0</v>
      </c>
      <c r="Q37" s="233">
        <f t="shared" si="7"/>
        <v>7.4124720000000005E-2</v>
      </c>
      <c r="R37" s="217" t="s">
        <v>19</v>
      </c>
      <c r="S37" s="216" t="s">
        <v>449</v>
      </c>
      <c r="T37" s="222" t="s">
        <v>344</v>
      </c>
      <c r="U37" s="222"/>
      <c r="V37" s="222"/>
    </row>
    <row r="38" spans="1:22" ht="86.45" customHeight="1" x14ac:dyDescent="0.75">
      <c r="A38" s="216">
        <v>14</v>
      </c>
      <c r="B38" s="220" t="s">
        <v>526</v>
      </c>
      <c r="C38" s="216" t="s">
        <v>511</v>
      </c>
      <c r="D38" s="221">
        <v>193019023880</v>
      </c>
      <c r="E38" s="221"/>
      <c r="F38" s="216" t="s">
        <v>20</v>
      </c>
      <c r="G38" s="216">
        <v>5</v>
      </c>
      <c r="H38" s="233">
        <v>4.7178100000000001</v>
      </c>
      <c r="I38" s="233">
        <f t="shared" si="8"/>
        <v>2.358905E-2</v>
      </c>
      <c r="J38" s="233">
        <v>0</v>
      </c>
      <c r="K38" s="233">
        <f>(((20)*1000)/1000000)</f>
        <v>0.02</v>
      </c>
      <c r="L38" s="233">
        <f t="shared" si="9"/>
        <v>0.40101385000000006</v>
      </c>
      <c r="M38" s="237">
        <v>0</v>
      </c>
      <c r="N38" s="233">
        <f>(((345)*1000)/1000000)</f>
        <v>0.34499999999999997</v>
      </c>
      <c r="O38" s="233">
        <f t="shared" si="5"/>
        <v>0.42460290000000006</v>
      </c>
      <c r="P38" s="233">
        <f t="shared" si="10"/>
        <v>0.36499999999999999</v>
      </c>
      <c r="Q38" s="233">
        <f t="shared" si="7"/>
        <v>5.960290000000007E-2</v>
      </c>
      <c r="R38" s="217" t="s">
        <v>292</v>
      </c>
      <c r="S38" s="216" t="s">
        <v>941</v>
      </c>
      <c r="T38" s="222" t="s">
        <v>282</v>
      </c>
      <c r="U38" s="222" t="s">
        <v>283</v>
      </c>
      <c r="V38" s="222"/>
    </row>
    <row r="39" spans="1:22" ht="86.45" customHeight="1" x14ac:dyDescent="0.75">
      <c r="A39" s="333">
        <v>15</v>
      </c>
      <c r="B39" s="353" t="s">
        <v>527</v>
      </c>
      <c r="C39" s="333" t="s">
        <v>511</v>
      </c>
      <c r="D39" s="354">
        <v>170149001975</v>
      </c>
      <c r="E39" s="221"/>
      <c r="F39" s="216" t="s">
        <v>18</v>
      </c>
      <c r="G39" s="216">
        <v>1.5</v>
      </c>
      <c r="H39" s="233">
        <v>2.1240000000000001</v>
      </c>
      <c r="I39" s="233">
        <f t="shared" si="8"/>
        <v>1.0620000000000001E-2</v>
      </c>
      <c r="J39" s="233">
        <v>0</v>
      </c>
      <c r="K39" s="233">
        <v>0</v>
      </c>
      <c r="L39" s="233">
        <f t="shared" si="9"/>
        <v>0.18054000000000003</v>
      </c>
      <c r="M39" s="237">
        <v>0</v>
      </c>
      <c r="N39" s="233">
        <v>0</v>
      </c>
      <c r="O39" s="233">
        <f t="shared" si="5"/>
        <v>0.19116000000000002</v>
      </c>
      <c r="P39" s="233">
        <f t="shared" si="10"/>
        <v>0</v>
      </c>
      <c r="Q39" s="233">
        <f t="shared" si="7"/>
        <v>0.19116000000000002</v>
      </c>
      <c r="R39" s="217" t="s">
        <v>19</v>
      </c>
      <c r="S39" s="216" t="s">
        <v>348</v>
      </c>
      <c r="T39" s="222" t="s">
        <v>344</v>
      </c>
      <c r="U39" s="222"/>
      <c r="V39" s="222"/>
    </row>
    <row r="40" spans="1:22" ht="86.45" customHeight="1" x14ac:dyDescent="0.75">
      <c r="A40" s="333"/>
      <c r="B40" s="353"/>
      <c r="C40" s="333"/>
      <c r="D40" s="354"/>
      <c r="E40" s="221"/>
      <c r="F40" s="216" t="s">
        <v>20</v>
      </c>
      <c r="G40" s="216">
        <v>2.2000000000000002</v>
      </c>
      <c r="H40" s="233">
        <v>14.128683000000001</v>
      </c>
      <c r="I40" s="233">
        <f t="shared" si="8"/>
        <v>7.0643415000000001E-2</v>
      </c>
      <c r="J40" s="233">
        <v>0</v>
      </c>
      <c r="K40" s="233">
        <v>0</v>
      </c>
      <c r="L40" s="233">
        <f t="shared" si="9"/>
        <v>1.2009380550000002</v>
      </c>
      <c r="M40" s="237">
        <v>0</v>
      </c>
      <c r="N40" s="233">
        <v>0</v>
      </c>
      <c r="O40" s="233">
        <f t="shared" si="5"/>
        <v>1.2715814700000001</v>
      </c>
      <c r="P40" s="233">
        <f t="shared" si="10"/>
        <v>0</v>
      </c>
      <c r="Q40" s="233">
        <f t="shared" si="7"/>
        <v>1.2715814700000001</v>
      </c>
      <c r="R40" s="217" t="s">
        <v>19</v>
      </c>
      <c r="S40" s="216" t="s">
        <v>450</v>
      </c>
      <c r="T40" s="222" t="s">
        <v>344</v>
      </c>
      <c r="U40" s="222"/>
      <c r="V40" s="222"/>
    </row>
    <row r="41" spans="1:22" ht="86.45" customHeight="1" x14ac:dyDescent="0.75">
      <c r="A41" s="216">
        <v>16</v>
      </c>
      <c r="B41" s="220" t="s">
        <v>528</v>
      </c>
      <c r="C41" s="216" t="s">
        <v>511</v>
      </c>
      <c r="D41" s="221">
        <v>3029023380</v>
      </c>
      <c r="E41" s="221"/>
      <c r="F41" s="216" t="s">
        <v>20</v>
      </c>
      <c r="G41" s="216">
        <v>3.2</v>
      </c>
      <c r="H41" s="233">
        <v>11.712</v>
      </c>
      <c r="I41" s="233">
        <f t="shared" si="8"/>
        <v>5.8560000000000001E-2</v>
      </c>
      <c r="J41" s="233">
        <v>0</v>
      </c>
      <c r="K41" s="233">
        <f>((55)*1000)/1000000</f>
        <v>5.5E-2</v>
      </c>
      <c r="L41" s="233">
        <f t="shared" si="9"/>
        <v>0.99552000000000007</v>
      </c>
      <c r="M41" s="237">
        <v>0</v>
      </c>
      <c r="N41" s="233">
        <f>((885)*1000)/1000000</f>
        <v>0.88500000000000001</v>
      </c>
      <c r="O41" s="233">
        <f t="shared" si="5"/>
        <v>1.0540800000000001</v>
      </c>
      <c r="P41" s="233">
        <f t="shared" si="10"/>
        <v>0.94000000000000006</v>
      </c>
      <c r="Q41" s="233">
        <f t="shared" si="7"/>
        <v>0.11408000000000007</v>
      </c>
      <c r="R41" s="217" t="s">
        <v>284</v>
      </c>
      <c r="S41" s="216" t="s">
        <v>942</v>
      </c>
      <c r="T41" s="222" t="s">
        <v>282</v>
      </c>
      <c r="U41" s="222" t="s">
        <v>283</v>
      </c>
      <c r="V41" s="222"/>
    </row>
    <row r="42" spans="1:22" ht="86.45" customHeight="1" x14ac:dyDescent="0.75">
      <c r="A42" s="324">
        <v>17</v>
      </c>
      <c r="B42" s="324" t="s">
        <v>529</v>
      </c>
      <c r="C42" s="330" t="s">
        <v>511</v>
      </c>
      <c r="D42" s="347">
        <v>79012378</v>
      </c>
      <c r="E42" s="347" t="s">
        <v>1298</v>
      </c>
      <c r="F42" s="247" t="s">
        <v>18</v>
      </c>
      <c r="G42" s="216">
        <v>3</v>
      </c>
      <c r="H42" s="233">
        <v>1.519962</v>
      </c>
      <c r="I42" s="233">
        <f>+H42*0.005</f>
        <v>7.5998100000000002E-3</v>
      </c>
      <c r="J42" s="237">
        <v>0</v>
      </c>
      <c r="K42" s="237">
        <f>(3*1000/1000000)</f>
        <v>3.0000000000000001E-3</v>
      </c>
      <c r="L42" s="233">
        <f>+H42*(8.5/100)</f>
        <v>0.12919677000000002</v>
      </c>
      <c r="M42" s="237">
        <v>0</v>
      </c>
      <c r="N42" s="233">
        <f>((51+412)*1000/10000000)</f>
        <v>4.6300000000000001E-2</v>
      </c>
      <c r="O42" s="233">
        <f>+I42+L42</f>
        <v>0.13679658000000003</v>
      </c>
      <c r="P42" s="233">
        <f>+((J42+K42)+(M42+N42))</f>
        <v>4.9300000000000004E-2</v>
      </c>
      <c r="Q42" s="233">
        <f>+O42-P42</f>
        <v>8.7496580000000018E-2</v>
      </c>
      <c r="R42" s="217" t="s">
        <v>284</v>
      </c>
      <c r="S42" s="216" t="s">
        <v>943</v>
      </c>
      <c r="T42" s="222" t="s">
        <v>282</v>
      </c>
      <c r="U42" s="222" t="s">
        <v>283</v>
      </c>
      <c r="V42" s="222"/>
    </row>
    <row r="43" spans="1:22" ht="86.45" customHeight="1" x14ac:dyDescent="0.75">
      <c r="A43" s="325"/>
      <c r="B43" s="325"/>
      <c r="C43" s="331"/>
      <c r="D43" s="349"/>
      <c r="E43" s="348"/>
      <c r="F43" s="247" t="s">
        <v>20</v>
      </c>
      <c r="G43" s="216">
        <v>3</v>
      </c>
      <c r="H43" s="233">
        <v>10.092452</v>
      </c>
      <c r="I43" s="233">
        <f t="shared" si="8"/>
        <v>5.0462260000000002E-2</v>
      </c>
      <c r="J43" s="237">
        <v>0</v>
      </c>
      <c r="K43" s="233">
        <f>((25+5+12+5)*1000)/1000000</f>
        <v>4.7E-2</v>
      </c>
      <c r="L43" s="233">
        <f t="shared" si="9"/>
        <v>0.85785842000000001</v>
      </c>
      <c r="M43" s="237">
        <v>0</v>
      </c>
      <c r="N43" s="233">
        <v>0</v>
      </c>
      <c r="O43" s="233">
        <f t="shared" si="5"/>
        <v>0.90832067999999999</v>
      </c>
      <c r="P43" s="233">
        <f t="shared" si="10"/>
        <v>4.7E-2</v>
      </c>
      <c r="Q43" s="233">
        <f t="shared" si="7"/>
        <v>0.86132067999999995</v>
      </c>
      <c r="R43" s="217" t="s">
        <v>284</v>
      </c>
      <c r="S43" s="216" t="s">
        <v>1271</v>
      </c>
      <c r="T43" s="222" t="s">
        <v>282</v>
      </c>
      <c r="U43" s="222" t="s">
        <v>283</v>
      </c>
      <c r="V43" s="222"/>
    </row>
    <row r="44" spans="1:22" ht="86.45" customHeight="1" x14ac:dyDescent="0.75">
      <c r="A44" s="325"/>
      <c r="B44" s="325"/>
      <c r="C44" s="331"/>
      <c r="D44" s="349"/>
      <c r="E44" s="350" t="s">
        <v>1351</v>
      </c>
      <c r="F44" s="259" t="s">
        <v>18</v>
      </c>
      <c r="G44" s="254">
        <v>3</v>
      </c>
      <c r="H44" s="255">
        <v>1.3109999999999999</v>
      </c>
      <c r="I44" s="255">
        <f t="shared" si="8"/>
        <v>6.5550000000000001E-3</v>
      </c>
      <c r="J44" s="256">
        <v>0</v>
      </c>
      <c r="K44" s="255">
        <f>7/1000</f>
        <v>7.0000000000000001E-3</v>
      </c>
      <c r="L44" s="255">
        <f t="shared" si="9"/>
        <v>0.11143500000000001</v>
      </c>
      <c r="M44" s="256">
        <v>0</v>
      </c>
      <c r="N44" s="255">
        <f>112/1000</f>
        <v>0.112</v>
      </c>
      <c r="O44" s="255">
        <f t="shared" si="5"/>
        <v>0.11799000000000001</v>
      </c>
      <c r="P44" s="255">
        <f>K44+N44</f>
        <v>0.11900000000000001</v>
      </c>
      <c r="Q44" s="255">
        <f t="shared" si="7"/>
        <v>-1.009999999999997E-3</v>
      </c>
      <c r="R44" s="258"/>
      <c r="S44" s="254"/>
      <c r="T44" s="222"/>
      <c r="U44" s="222"/>
      <c r="V44" s="222"/>
    </row>
    <row r="45" spans="1:22" ht="86.45" customHeight="1" x14ac:dyDescent="0.75">
      <c r="A45" s="326"/>
      <c r="B45" s="326"/>
      <c r="C45" s="332"/>
      <c r="D45" s="348"/>
      <c r="E45" s="352"/>
      <c r="F45" s="259" t="s">
        <v>20</v>
      </c>
      <c r="G45" s="254">
        <v>3</v>
      </c>
      <c r="H45" s="255">
        <v>8.7177000000000007</v>
      </c>
      <c r="I45" s="255">
        <v>4.3499999999999997E-2</v>
      </c>
      <c r="J45" s="256">
        <v>0</v>
      </c>
      <c r="K45" s="255">
        <v>4.7E-2</v>
      </c>
      <c r="L45" s="255">
        <f t="shared" si="9"/>
        <v>0.74100450000000007</v>
      </c>
      <c r="M45" s="256">
        <v>0</v>
      </c>
      <c r="N45" s="255">
        <v>0.80100000000000005</v>
      </c>
      <c r="O45" s="255">
        <v>0.78459999999999996</v>
      </c>
      <c r="P45" s="255">
        <v>0.84799999999999998</v>
      </c>
      <c r="Q45" s="255">
        <f t="shared" si="7"/>
        <v>-6.3400000000000012E-2</v>
      </c>
      <c r="R45" s="258"/>
      <c r="S45" s="254"/>
      <c r="T45" s="222"/>
      <c r="U45" s="222"/>
      <c r="V45" s="222"/>
    </row>
    <row r="46" spans="1:22" ht="86.45" customHeight="1" x14ac:dyDescent="0.75">
      <c r="A46" s="216">
        <v>18</v>
      </c>
      <c r="B46" s="220" t="s">
        <v>530</v>
      </c>
      <c r="C46" s="216" t="s">
        <v>511</v>
      </c>
      <c r="D46" s="221">
        <v>490019004276</v>
      </c>
      <c r="E46" s="221" t="s">
        <v>1298</v>
      </c>
      <c r="F46" s="216" t="s">
        <v>20</v>
      </c>
      <c r="G46" s="216">
        <v>1</v>
      </c>
      <c r="H46" s="233">
        <v>0</v>
      </c>
      <c r="I46" s="233">
        <f t="shared" si="8"/>
        <v>0</v>
      </c>
      <c r="J46" s="233">
        <v>0</v>
      </c>
      <c r="K46" s="233">
        <v>0</v>
      </c>
      <c r="L46" s="233">
        <f t="shared" si="9"/>
        <v>0</v>
      </c>
      <c r="M46" s="237">
        <v>0</v>
      </c>
      <c r="N46" s="233">
        <v>0</v>
      </c>
      <c r="O46" s="233">
        <f t="shared" si="5"/>
        <v>0</v>
      </c>
      <c r="P46" s="233">
        <f t="shared" si="10"/>
        <v>0</v>
      </c>
      <c r="Q46" s="233">
        <f t="shared" si="7"/>
        <v>0</v>
      </c>
      <c r="R46" s="217" t="s">
        <v>19</v>
      </c>
      <c r="S46" s="216" t="s">
        <v>449</v>
      </c>
      <c r="T46" s="222" t="s">
        <v>344</v>
      </c>
      <c r="U46" s="222" t="s">
        <v>448</v>
      </c>
      <c r="V46" s="222"/>
    </row>
    <row r="47" spans="1:22" s="244" customFormat="1" ht="86.45" customHeight="1" x14ac:dyDescent="0.75">
      <c r="A47" s="331"/>
      <c r="B47" s="251"/>
      <c r="C47" s="325" t="s">
        <v>511</v>
      </c>
      <c r="D47" s="378">
        <v>30119026750</v>
      </c>
      <c r="E47" s="379" t="s">
        <v>1298</v>
      </c>
      <c r="F47" s="247" t="s">
        <v>18</v>
      </c>
      <c r="G47" s="216">
        <v>2</v>
      </c>
      <c r="H47" s="233">
        <v>9.9085660000000004</v>
      </c>
      <c r="I47" s="233">
        <f>+H47*0.005</f>
        <v>4.9542830000000003E-2</v>
      </c>
      <c r="J47" s="233">
        <v>0</v>
      </c>
      <c r="K47" s="233">
        <v>0</v>
      </c>
      <c r="L47" s="233">
        <f>+H47*(8.5/100)</f>
        <v>0.84222811000000009</v>
      </c>
      <c r="M47" s="237">
        <v>0</v>
      </c>
      <c r="N47" s="233">
        <v>0</v>
      </c>
      <c r="O47" s="233">
        <f>+I47+L47</f>
        <v>0.89177094000000012</v>
      </c>
      <c r="P47" s="233">
        <f>+((J47+K47)+(M47+N47))</f>
        <v>0</v>
      </c>
      <c r="Q47" s="233">
        <f t="shared" si="7"/>
        <v>0.89177094000000012</v>
      </c>
      <c r="R47" s="217" t="s">
        <v>19</v>
      </c>
      <c r="S47" s="216" t="s">
        <v>346</v>
      </c>
      <c r="T47" s="243" t="s">
        <v>344</v>
      </c>
      <c r="U47" s="243"/>
      <c r="V47" s="243"/>
    </row>
    <row r="48" spans="1:22" s="244" customFormat="1" ht="86.45" customHeight="1" x14ac:dyDescent="0.75">
      <c r="A48" s="331"/>
      <c r="B48" s="325" t="s">
        <v>771</v>
      </c>
      <c r="C48" s="325"/>
      <c r="D48" s="378"/>
      <c r="E48" s="380"/>
      <c r="F48" s="247" t="s">
        <v>20</v>
      </c>
      <c r="G48" s="216">
        <v>2</v>
      </c>
      <c r="H48" s="233">
        <v>11.226395</v>
      </c>
      <c r="I48" s="233">
        <f t="shared" si="8"/>
        <v>5.6131975000000001E-2</v>
      </c>
      <c r="J48" s="233">
        <v>0</v>
      </c>
      <c r="K48" s="233">
        <v>0</v>
      </c>
      <c r="L48" s="233">
        <f t="shared" si="9"/>
        <v>0.95424357500000012</v>
      </c>
      <c r="M48" s="237">
        <v>0</v>
      </c>
      <c r="N48" s="233">
        <v>0</v>
      </c>
      <c r="O48" s="233">
        <f t="shared" si="5"/>
        <v>1.01037555</v>
      </c>
      <c r="P48" s="233">
        <f t="shared" si="10"/>
        <v>0</v>
      </c>
      <c r="Q48" s="233">
        <f t="shared" si="7"/>
        <v>1.01037555</v>
      </c>
      <c r="R48" s="217" t="s">
        <v>19</v>
      </c>
      <c r="S48" s="216" t="s">
        <v>447</v>
      </c>
      <c r="T48" s="243" t="s">
        <v>344</v>
      </c>
      <c r="U48" s="243"/>
      <c r="V48" s="243"/>
    </row>
    <row r="49" spans="1:30" s="244" customFormat="1" ht="86.45" customHeight="1" x14ac:dyDescent="0.75">
      <c r="A49" s="331"/>
      <c r="B49" s="325"/>
      <c r="C49" s="325"/>
      <c r="D49" s="378"/>
      <c r="E49" s="351" t="s">
        <v>1420</v>
      </c>
      <c r="F49" s="259" t="s">
        <v>18</v>
      </c>
      <c r="G49" s="254">
        <v>2</v>
      </c>
      <c r="H49" s="255">
        <v>7.6780999999999997</v>
      </c>
      <c r="I49" s="255">
        <v>3.8399999999999997E-2</v>
      </c>
      <c r="J49" s="255">
        <v>0</v>
      </c>
      <c r="K49" s="255">
        <v>0</v>
      </c>
      <c r="L49" s="255">
        <v>0.65259999999999996</v>
      </c>
      <c r="M49" s="256">
        <v>0</v>
      </c>
      <c r="N49" s="255">
        <v>0</v>
      </c>
      <c r="O49" s="255">
        <v>0.69099999999999995</v>
      </c>
      <c r="P49" s="255">
        <v>0</v>
      </c>
      <c r="Q49" s="255">
        <f t="shared" ref="Q49:Q50" si="11">+O49-P49</f>
        <v>0.69099999999999995</v>
      </c>
      <c r="R49" s="258"/>
      <c r="S49" s="254"/>
      <c r="T49" s="243"/>
      <c r="U49" s="243"/>
      <c r="V49" s="243"/>
    </row>
    <row r="50" spans="1:30" s="244" customFormat="1" ht="86.45" customHeight="1" x14ac:dyDescent="0.75">
      <c r="A50" s="331"/>
      <c r="B50" s="325"/>
      <c r="C50" s="325"/>
      <c r="D50" s="378"/>
      <c r="E50" s="351"/>
      <c r="F50" s="254" t="s">
        <v>20</v>
      </c>
      <c r="G50" s="254">
        <v>2</v>
      </c>
      <c r="H50" s="255">
        <v>8.8086000000000002</v>
      </c>
      <c r="I50" s="255">
        <v>4.3999999999999997E-2</v>
      </c>
      <c r="J50" s="255">
        <v>0</v>
      </c>
      <c r="K50" s="255">
        <v>0</v>
      </c>
      <c r="L50" s="255">
        <v>0.74870000000000003</v>
      </c>
      <c r="M50" s="256">
        <v>0</v>
      </c>
      <c r="N50" s="255">
        <v>0</v>
      </c>
      <c r="O50" s="255">
        <v>0.79279999999999995</v>
      </c>
      <c r="P50" s="255">
        <v>0</v>
      </c>
      <c r="Q50" s="255">
        <f t="shared" si="11"/>
        <v>0.79279999999999995</v>
      </c>
      <c r="R50" s="258"/>
      <c r="S50" s="254"/>
      <c r="T50" s="243"/>
      <c r="U50" s="243"/>
      <c r="V50" s="243"/>
    </row>
    <row r="51" spans="1:30" ht="86.45" customHeight="1" x14ac:dyDescent="0.75">
      <c r="A51" s="333">
        <v>20</v>
      </c>
      <c r="B51" s="353" t="s">
        <v>531</v>
      </c>
      <c r="C51" s="333" t="s">
        <v>511</v>
      </c>
      <c r="D51" s="354">
        <v>184059022303</v>
      </c>
      <c r="E51" s="221"/>
      <c r="F51" s="216" t="s">
        <v>20</v>
      </c>
      <c r="G51" s="216">
        <v>15</v>
      </c>
      <c r="H51" s="233">
        <v>26.024049999999999</v>
      </c>
      <c r="I51" s="233">
        <f>+H51*0.005</f>
        <v>0.13012024999999999</v>
      </c>
      <c r="J51" s="233">
        <v>0</v>
      </c>
      <c r="K51" s="233">
        <f>((121+142)*1000)/1000000</f>
        <v>0.26300000000000001</v>
      </c>
      <c r="L51" s="233">
        <f>+H51*(8.5/100)</f>
        <v>2.2120442499999999</v>
      </c>
      <c r="M51" s="237">
        <v>0</v>
      </c>
      <c r="N51" s="233">
        <f>((2062+1419)*1000)/1000000</f>
        <v>3.4809999999999999</v>
      </c>
      <c r="O51" s="233">
        <f>+I51+L51</f>
        <v>2.3421645</v>
      </c>
      <c r="P51" s="233">
        <f>+((J51+K51)+(M51+N51))</f>
        <v>3.7439999999999998</v>
      </c>
      <c r="Q51" s="233">
        <f>+O51-P51</f>
        <v>-1.4018354999999998</v>
      </c>
      <c r="R51" s="217" t="s">
        <v>284</v>
      </c>
      <c r="S51" s="216" t="s">
        <v>944</v>
      </c>
      <c r="T51" s="222" t="s">
        <v>282</v>
      </c>
      <c r="U51" s="222" t="s">
        <v>310</v>
      </c>
      <c r="V51" s="222"/>
    </row>
    <row r="52" spans="1:30" ht="86.45" customHeight="1" x14ac:dyDescent="0.75">
      <c r="A52" s="333"/>
      <c r="B52" s="353"/>
      <c r="C52" s="333"/>
      <c r="D52" s="354"/>
      <c r="E52" s="221"/>
      <c r="F52" s="216" t="s">
        <v>21</v>
      </c>
      <c r="G52" s="216">
        <v>7</v>
      </c>
      <c r="H52" s="233">
        <v>33.792340000000003</v>
      </c>
      <c r="I52" s="233">
        <f>+H52*0.01</f>
        <v>0.33792340000000004</v>
      </c>
      <c r="J52" s="233">
        <v>0</v>
      </c>
      <c r="K52" s="233">
        <f>((142+50+49+84)*1000)/1000000</f>
        <v>0.32500000000000001</v>
      </c>
      <c r="L52" s="233">
        <f>+H52*(10/100)</f>
        <v>3.3792340000000003</v>
      </c>
      <c r="M52" s="237">
        <v>0</v>
      </c>
      <c r="N52" s="233">
        <f>((1419+506+481+831)*1000)/1000000</f>
        <v>3.2370000000000001</v>
      </c>
      <c r="O52" s="233">
        <f t="shared" si="5"/>
        <v>3.7171574000000005</v>
      </c>
      <c r="P52" s="233">
        <f t="shared" si="10"/>
        <v>3.5620000000000003</v>
      </c>
      <c r="Q52" s="233">
        <f t="shared" ref="Q52:Q139" si="12">+O52-P52</f>
        <v>0.15515740000000022</v>
      </c>
      <c r="R52" s="217" t="s">
        <v>284</v>
      </c>
      <c r="S52" s="216" t="s">
        <v>945</v>
      </c>
      <c r="T52" s="222" t="s">
        <v>282</v>
      </c>
      <c r="U52" s="222" t="s">
        <v>283</v>
      </c>
      <c r="V52" s="222"/>
    </row>
    <row r="53" spans="1:30" ht="86.45" customHeight="1" x14ac:dyDescent="0.75">
      <c r="A53" s="333"/>
      <c r="B53" s="353"/>
      <c r="C53" s="333"/>
      <c r="D53" s="354"/>
      <c r="E53" s="221"/>
      <c r="F53" s="216" t="s">
        <v>22</v>
      </c>
      <c r="G53" s="216">
        <v>7</v>
      </c>
      <c r="H53" s="233">
        <f>32914029/1000000</f>
        <v>32.914028999999999</v>
      </c>
      <c r="I53" s="233">
        <f>+H53*0.02</f>
        <v>0.65828058</v>
      </c>
      <c r="J53" s="233">
        <v>0</v>
      </c>
      <c r="K53" s="233">
        <f>(632*1000)/1000000</f>
        <v>0.63200000000000001</v>
      </c>
      <c r="L53" s="233">
        <f>+H53*(10.5/100)</f>
        <v>3.4559730449999999</v>
      </c>
      <c r="M53" s="237">
        <v>0</v>
      </c>
      <c r="N53" s="233">
        <f>((995+159+543+1039+574+5)*1000)/1000000</f>
        <v>3.3149999999999999</v>
      </c>
      <c r="O53" s="233">
        <f>+I53+L53</f>
        <v>4.1142536249999999</v>
      </c>
      <c r="P53" s="233">
        <f>+((J53+K53)+(M53+N53))</f>
        <v>3.9470000000000001</v>
      </c>
      <c r="Q53" s="233">
        <f>+O53-P53</f>
        <v>0.16725362499999985</v>
      </c>
      <c r="R53" s="216" t="s">
        <v>451</v>
      </c>
      <c r="S53" s="216" t="s">
        <v>36</v>
      </c>
      <c r="T53" s="222" t="s">
        <v>282</v>
      </c>
      <c r="U53" s="222" t="s">
        <v>283</v>
      </c>
      <c r="V53" s="222"/>
      <c r="W53" s="14"/>
      <c r="X53" s="14"/>
      <c r="Y53" s="14"/>
      <c r="Z53" s="14"/>
      <c r="AA53" s="14"/>
      <c r="AB53" s="14"/>
      <c r="AC53" s="14"/>
      <c r="AD53" s="14"/>
    </row>
    <row r="54" spans="1:30" ht="86.45" customHeight="1" x14ac:dyDescent="0.75">
      <c r="A54" s="333"/>
      <c r="B54" s="353"/>
      <c r="C54" s="333"/>
      <c r="D54" s="354"/>
      <c r="E54" s="221"/>
      <c r="F54" s="216" t="s">
        <v>24</v>
      </c>
      <c r="G54" s="216">
        <v>10</v>
      </c>
      <c r="H54" s="233">
        <v>45.713068999999997</v>
      </c>
      <c r="I54" s="233">
        <f>+H54*(2.75/100)</f>
        <v>1.2571093974999998</v>
      </c>
      <c r="J54" s="233">
        <v>0</v>
      </c>
      <c r="K54" s="233">
        <f>((120+632+484)*1000)/1000000</f>
        <v>1.236</v>
      </c>
      <c r="L54" s="233">
        <f>+H54*(11/100)</f>
        <v>5.0284375899999993</v>
      </c>
      <c r="M54" s="237">
        <v>0</v>
      </c>
      <c r="N54" s="233">
        <f>((2053+249+800+5+1713)*1000)/1000000</f>
        <v>4.82</v>
      </c>
      <c r="O54" s="233">
        <f t="shared" si="5"/>
        <v>6.2855469874999992</v>
      </c>
      <c r="P54" s="233">
        <f>((J54+K54)+(M54+N54))</f>
        <v>6.056</v>
      </c>
      <c r="Q54" s="233">
        <f t="shared" si="12"/>
        <v>0.22954698749999913</v>
      </c>
      <c r="R54" s="217" t="s">
        <v>496</v>
      </c>
      <c r="S54" s="216" t="s">
        <v>37</v>
      </c>
      <c r="T54" s="222" t="s">
        <v>282</v>
      </c>
      <c r="U54" s="222" t="s">
        <v>283</v>
      </c>
      <c r="V54" s="222"/>
      <c r="W54" s="14"/>
      <c r="X54" s="14"/>
      <c r="Y54" s="14"/>
      <c r="Z54" s="14"/>
      <c r="AA54" s="14"/>
      <c r="AB54" s="14"/>
      <c r="AC54" s="14"/>
      <c r="AD54" s="14"/>
    </row>
    <row r="55" spans="1:30" ht="86.45" customHeight="1" x14ac:dyDescent="0.75">
      <c r="A55" s="216">
        <v>21</v>
      </c>
      <c r="B55" s="220" t="s">
        <v>1272</v>
      </c>
      <c r="C55" s="216" t="s">
        <v>511</v>
      </c>
      <c r="D55" s="221">
        <v>430019004141</v>
      </c>
      <c r="E55" s="221"/>
      <c r="F55" s="216" t="s">
        <v>20</v>
      </c>
      <c r="G55" s="216">
        <v>4</v>
      </c>
      <c r="H55" s="233">
        <v>26.416212000000002</v>
      </c>
      <c r="I55" s="233">
        <f>+H55*0.005</f>
        <v>0.13208106</v>
      </c>
      <c r="J55" s="233">
        <v>0</v>
      </c>
      <c r="K55" s="233">
        <v>0</v>
      </c>
      <c r="L55" s="233">
        <f>+H55*(8.5/100)</f>
        <v>2.2453780200000004</v>
      </c>
      <c r="M55" s="237">
        <v>0</v>
      </c>
      <c r="N55" s="233">
        <v>0</v>
      </c>
      <c r="O55" s="233">
        <f t="shared" si="5"/>
        <v>2.3774590800000004</v>
      </c>
      <c r="P55" s="233">
        <f t="shared" ref="P55:P95" si="13">+((J55+K55)+(M55+N55))</f>
        <v>0</v>
      </c>
      <c r="Q55" s="233">
        <f t="shared" si="12"/>
        <v>2.3774590800000004</v>
      </c>
      <c r="R55" s="217" t="s">
        <v>19</v>
      </c>
      <c r="S55" s="216" t="s">
        <v>449</v>
      </c>
      <c r="T55" s="222" t="s">
        <v>344</v>
      </c>
      <c r="U55" s="222"/>
      <c r="V55" s="222"/>
    </row>
    <row r="56" spans="1:30" ht="86.45" customHeight="1" x14ac:dyDescent="0.75">
      <c r="A56" s="330">
        <v>22</v>
      </c>
      <c r="B56" s="324" t="s">
        <v>1368</v>
      </c>
      <c r="C56" s="324" t="s">
        <v>511</v>
      </c>
      <c r="D56" s="379">
        <v>170019000438</v>
      </c>
      <c r="E56" s="347" t="s">
        <v>1298</v>
      </c>
      <c r="F56" s="216" t="s">
        <v>20</v>
      </c>
      <c r="G56" s="216">
        <v>10</v>
      </c>
      <c r="H56" s="233">
        <v>7.3930899999999999</v>
      </c>
      <c r="I56" s="233">
        <f>+H56*0.005</f>
        <v>3.6965450000000004E-2</v>
      </c>
      <c r="J56" s="233">
        <v>0</v>
      </c>
      <c r="K56" s="233">
        <f>((36*1000)/1000000)</f>
        <v>3.5999999999999997E-2</v>
      </c>
      <c r="L56" s="233">
        <f>+H56*(8.5/100)</f>
        <v>0.62841265000000002</v>
      </c>
      <c r="M56" s="237">
        <v>0.42070299999999999</v>
      </c>
      <c r="N56" s="233">
        <f>((147*1000)/1000000)</f>
        <v>0.14699999999999999</v>
      </c>
      <c r="O56" s="233">
        <f t="shared" si="5"/>
        <v>0.66537809999999997</v>
      </c>
      <c r="P56" s="233">
        <f t="shared" si="13"/>
        <v>0.60370299999999999</v>
      </c>
      <c r="Q56" s="233">
        <f t="shared" si="12"/>
        <v>6.1675099999999983E-2</v>
      </c>
      <c r="R56" s="217" t="s">
        <v>284</v>
      </c>
      <c r="S56" s="216" t="s">
        <v>946</v>
      </c>
      <c r="T56" s="222" t="s">
        <v>282</v>
      </c>
      <c r="U56" s="222" t="s">
        <v>283</v>
      </c>
      <c r="V56" s="222"/>
    </row>
    <row r="57" spans="1:30" ht="86.45" customHeight="1" x14ac:dyDescent="0.75">
      <c r="A57" s="331"/>
      <c r="B57" s="325"/>
      <c r="C57" s="325"/>
      <c r="D57" s="378"/>
      <c r="E57" s="349"/>
      <c r="F57" s="216" t="s">
        <v>21</v>
      </c>
      <c r="G57" s="216">
        <v>16</v>
      </c>
      <c r="H57" s="233">
        <v>100.822924</v>
      </c>
      <c r="I57" s="233">
        <f>+H57*0.01</f>
        <v>1.0082292399999999</v>
      </c>
      <c r="J57" s="233">
        <v>0</v>
      </c>
      <c r="K57" s="233">
        <v>0</v>
      </c>
      <c r="L57" s="233">
        <f>+H57*(10/100)</f>
        <v>10.0822924</v>
      </c>
      <c r="M57" s="237">
        <v>0</v>
      </c>
      <c r="N57" s="233">
        <v>0</v>
      </c>
      <c r="O57" s="233">
        <f t="shared" si="5"/>
        <v>11.09052164</v>
      </c>
      <c r="P57" s="233">
        <f t="shared" si="13"/>
        <v>0</v>
      </c>
      <c r="Q57" s="233">
        <f t="shared" si="12"/>
        <v>11.09052164</v>
      </c>
      <c r="R57" s="217" t="s">
        <v>19</v>
      </c>
      <c r="S57" s="216" t="s">
        <v>489</v>
      </c>
      <c r="T57" s="222" t="s">
        <v>344</v>
      </c>
      <c r="U57" s="222"/>
      <c r="V57" s="222"/>
    </row>
    <row r="58" spans="1:30" ht="86.45" customHeight="1" x14ac:dyDescent="0.75">
      <c r="A58" s="331"/>
      <c r="B58" s="325"/>
      <c r="C58" s="325"/>
      <c r="D58" s="378"/>
      <c r="E58" s="348"/>
      <c r="F58" s="216" t="s">
        <v>22</v>
      </c>
      <c r="G58" s="216">
        <v>18</v>
      </c>
      <c r="H58" s="233">
        <f>61627138/1000000</f>
        <v>61.627138000000002</v>
      </c>
      <c r="I58" s="233">
        <f>+H58*0.02</f>
        <v>1.2325427600000001</v>
      </c>
      <c r="J58" s="233">
        <v>0</v>
      </c>
      <c r="K58" s="233">
        <v>0</v>
      </c>
      <c r="L58" s="233">
        <f>+H58*(10.5/100)</f>
        <v>6.47084949</v>
      </c>
      <c r="M58" s="237">
        <v>0</v>
      </c>
      <c r="N58" s="233">
        <v>0</v>
      </c>
      <c r="O58" s="233">
        <f t="shared" si="5"/>
        <v>7.7033922500000003</v>
      </c>
      <c r="P58" s="233">
        <f t="shared" si="13"/>
        <v>0</v>
      </c>
      <c r="Q58" s="233">
        <f t="shared" si="12"/>
        <v>7.7033922500000003</v>
      </c>
      <c r="R58" s="216" t="s">
        <v>19</v>
      </c>
      <c r="S58" s="216" t="s">
        <v>38</v>
      </c>
      <c r="T58" s="222" t="s">
        <v>344</v>
      </c>
      <c r="U58" s="222"/>
      <c r="V58" s="222"/>
      <c r="W58" s="14"/>
      <c r="X58" s="14"/>
      <c r="Y58" s="14"/>
      <c r="Z58" s="14"/>
      <c r="AA58" s="14"/>
      <c r="AB58" s="14"/>
      <c r="AC58" s="14"/>
      <c r="AD58" s="14"/>
    </row>
    <row r="59" spans="1:30" ht="86.45" customHeight="1" x14ac:dyDescent="0.75">
      <c r="A59" s="331"/>
      <c r="B59" s="325"/>
      <c r="C59" s="325"/>
      <c r="D59" s="378"/>
      <c r="E59" s="350" t="s">
        <v>1350</v>
      </c>
      <c r="F59" s="254" t="s">
        <v>20</v>
      </c>
      <c r="G59" s="254">
        <v>10</v>
      </c>
      <c r="H59" s="255">
        <v>6.6580000000000004</v>
      </c>
      <c r="I59" s="255">
        <v>3.3000000000000002E-2</v>
      </c>
      <c r="J59" s="255">
        <v>0</v>
      </c>
      <c r="K59" s="255">
        <v>3.3000000000000002E-2</v>
      </c>
      <c r="L59" s="255">
        <v>0.56599999999999995</v>
      </c>
      <c r="M59" s="256">
        <v>4.2000000000000003E-2</v>
      </c>
      <c r="N59" s="255">
        <v>0.14699999999999999</v>
      </c>
      <c r="O59" s="255">
        <v>0.59899999999999998</v>
      </c>
      <c r="P59" s="255">
        <v>0.18</v>
      </c>
      <c r="Q59" s="255">
        <v>0.52400000000000002</v>
      </c>
      <c r="R59" s="254"/>
      <c r="S59" s="254"/>
      <c r="T59" s="222"/>
      <c r="U59" s="222"/>
      <c r="V59" s="222"/>
      <c r="W59" s="14"/>
      <c r="X59" s="14"/>
      <c r="Y59" s="14"/>
      <c r="Z59" s="14"/>
      <c r="AA59" s="14"/>
      <c r="AB59" s="14"/>
      <c r="AC59" s="14"/>
      <c r="AD59" s="14"/>
    </row>
    <row r="60" spans="1:30" ht="86.45" customHeight="1" x14ac:dyDescent="0.75">
      <c r="A60" s="331"/>
      <c r="B60" s="325"/>
      <c r="C60" s="325"/>
      <c r="D60" s="378"/>
      <c r="E60" s="351"/>
      <c r="F60" s="254" t="s">
        <v>21</v>
      </c>
      <c r="G60" s="254">
        <v>16</v>
      </c>
      <c r="H60" s="255">
        <v>96.643000000000001</v>
      </c>
      <c r="I60" s="255">
        <v>0.96599999999999997</v>
      </c>
      <c r="J60" s="255">
        <v>0</v>
      </c>
      <c r="K60" s="255">
        <v>0.96599999999999997</v>
      </c>
      <c r="L60" s="255">
        <v>9.6639999999999997</v>
      </c>
      <c r="M60" s="256">
        <v>8.8780000000000001</v>
      </c>
      <c r="N60" s="255">
        <v>0</v>
      </c>
      <c r="O60" s="255">
        <v>10.631</v>
      </c>
      <c r="P60" s="255">
        <v>0.96599999999999997</v>
      </c>
      <c r="Q60" s="255">
        <v>0.78600000000000003</v>
      </c>
      <c r="R60" s="254"/>
      <c r="S60" s="254"/>
      <c r="T60" s="222"/>
      <c r="U60" s="222"/>
      <c r="V60" s="222"/>
      <c r="W60" s="14"/>
      <c r="X60" s="14"/>
      <c r="Y60" s="14"/>
      <c r="Z60" s="14"/>
      <c r="AA60" s="14"/>
      <c r="AB60" s="14"/>
      <c r="AC60" s="14"/>
      <c r="AD60" s="14"/>
    </row>
    <row r="61" spans="1:30" ht="86.45" customHeight="1" x14ac:dyDescent="0.75">
      <c r="A61" s="332"/>
      <c r="B61" s="326"/>
      <c r="C61" s="326"/>
      <c r="D61" s="380"/>
      <c r="E61" s="352"/>
      <c r="F61" s="254" t="s">
        <v>22</v>
      </c>
      <c r="G61" s="254">
        <v>18</v>
      </c>
      <c r="H61" s="255">
        <v>59.076999999999998</v>
      </c>
      <c r="I61" s="255">
        <v>1.1819999999999999</v>
      </c>
      <c r="J61" s="255">
        <v>0</v>
      </c>
      <c r="K61" s="255">
        <v>1.1819999999999999</v>
      </c>
      <c r="L61" s="255">
        <v>6.2030000000000003</v>
      </c>
      <c r="M61" s="256">
        <v>1.992</v>
      </c>
      <c r="N61" s="255">
        <v>0</v>
      </c>
      <c r="O61" s="255">
        <v>7.3849999999999998</v>
      </c>
      <c r="P61" s="255">
        <v>1.1819999999999999</v>
      </c>
      <c r="Q61" s="255">
        <v>4.2110000000000003</v>
      </c>
      <c r="R61" s="254"/>
      <c r="S61" s="254"/>
      <c r="T61" s="222"/>
      <c r="U61" s="222"/>
      <c r="V61" s="222"/>
      <c r="W61" s="14"/>
      <c r="X61" s="14"/>
      <c r="Y61" s="14"/>
      <c r="Z61" s="14"/>
      <c r="AA61" s="14"/>
      <c r="AB61" s="14"/>
      <c r="AC61" s="14"/>
      <c r="AD61" s="14"/>
    </row>
    <row r="62" spans="1:30" ht="86.45" customHeight="1" x14ac:dyDescent="0.75">
      <c r="A62" s="216">
        <v>23</v>
      </c>
      <c r="B62" s="220" t="s">
        <v>534</v>
      </c>
      <c r="C62" s="216" t="s">
        <v>511</v>
      </c>
      <c r="D62" s="221">
        <v>279004442</v>
      </c>
      <c r="E62" s="221"/>
      <c r="F62" s="216" t="s">
        <v>20</v>
      </c>
      <c r="G62" s="216">
        <v>1.25</v>
      </c>
      <c r="H62" s="233">
        <v>7.5163149999999996</v>
      </c>
      <c r="I62" s="233">
        <f>+H62*0.005</f>
        <v>3.7581574999999999E-2</v>
      </c>
      <c r="J62" s="233">
        <v>0</v>
      </c>
      <c r="K62" s="233">
        <f>(((25+5+8)*1000)/1000000)</f>
        <v>3.7999999999999999E-2</v>
      </c>
      <c r="L62" s="233">
        <f>+H62*(8.5/100)</f>
        <v>0.63888677500000002</v>
      </c>
      <c r="M62" s="237">
        <v>0</v>
      </c>
      <c r="N62" s="233">
        <f>(((441+67+132)*1000)/1000000)</f>
        <v>0.64</v>
      </c>
      <c r="O62" s="233">
        <f t="shared" si="5"/>
        <v>0.67646835000000005</v>
      </c>
      <c r="P62" s="233">
        <f t="shared" si="13"/>
        <v>0.67800000000000005</v>
      </c>
      <c r="Q62" s="233">
        <f t="shared" si="12"/>
        <v>-1.5316499999999955E-3</v>
      </c>
      <c r="R62" s="217" t="s">
        <v>19</v>
      </c>
      <c r="S62" s="216" t="s">
        <v>947</v>
      </c>
      <c r="T62" s="222" t="s">
        <v>282</v>
      </c>
      <c r="U62" s="222" t="s">
        <v>310</v>
      </c>
      <c r="V62" s="222"/>
    </row>
    <row r="63" spans="1:30" ht="86.45" customHeight="1" x14ac:dyDescent="0.75">
      <c r="A63" s="333">
        <v>24</v>
      </c>
      <c r="B63" s="353" t="s">
        <v>535</v>
      </c>
      <c r="C63" s="333" t="s">
        <v>515</v>
      </c>
      <c r="D63" s="354">
        <v>102691116</v>
      </c>
      <c r="E63" s="221"/>
      <c r="F63" s="216" t="s">
        <v>18</v>
      </c>
      <c r="G63" s="216">
        <v>2.778</v>
      </c>
      <c r="H63" s="233">
        <f>3497728.35714159/1000000</f>
        <v>3.49772835714159</v>
      </c>
      <c r="I63" s="233">
        <f>+H63*0.005</f>
        <v>1.7488641785707949E-2</v>
      </c>
      <c r="J63" s="233">
        <v>0</v>
      </c>
      <c r="K63" s="233">
        <v>0</v>
      </c>
      <c r="L63" s="233">
        <f>+H63*(8.5/100)</f>
        <v>0.29730691035703516</v>
      </c>
      <c r="M63" s="237">
        <v>0</v>
      </c>
      <c r="N63" s="233">
        <v>0</v>
      </c>
      <c r="O63" s="233">
        <f t="shared" si="5"/>
        <v>0.31479555214274313</v>
      </c>
      <c r="P63" s="233">
        <f t="shared" si="13"/>
        <v>0</v>
      </c>
      <c r="Q63" s="233">
        <f t="shared" si="12"/>
        <v>0.31479555214274313</v>
      </c>
      <c r="R63" s="217" t="s">
        <v>948</v>
      </c>
      <c r="S63" s="216" t="s">
        <v>343</v>
      </c>
      <c r="T63" s="222" t="s">
        <v>344</v>
      </c>
      <c r="U63" s="222"/>
      <c r="V63" s="222"/>
    </row>
    <row r="64" spans="1:30" ht="86.45" customHeight="1" x14ac:dyDescent="0.75">
      <c r="A64" s="333"/>
      <c r="B64" s="353"/>
      <c r="C64" s="333"/>
      <c r="D64" s="354"/>
      <c r="E64" s="221"/>
      <c r="F64" s="216" t="s">
        <v>20</v>
      </c>
      <c r="G64" s="216">
        <v>1.25</v>
      </c>
      <c r="H64" s="233">
        <f>10632641.2641208/1000000</f>
        <v>10.632641264120801</v>
      </c>
      <c r="I64" s="233">
        <f>+H64*0.005</f>
        <v>5.3163206320604006E-2</v>
      </c>
      <c r="J64" s="233">
        <v>0</v>
      </c>
      <c r="K64" s="233">
        <v>0</v>
      </c>
      <c r="L64" s="233">
        <f>+H64*(8.5/100)</f>
        <v>0.90377450745026822</v>
      </c>
      <c r="M64" s="237">
        <v>0</v>
      </c>
      <c r="N64" s="233">
        <v>0</v>
      </c>
      <c r="O64" s="233">
        <f t="shared" si="5"/>
        <v>0.95693771377087222</v>
      </c>
      <c r="P64" s="233">
        <f t="shared" si="13"/>
        <v>0</v>
      </c>
      <c r="Q64" s="233">
        <f t="shared" si="12"/>
        <v>0.95693771377087222</v>
      </c>
      <c r="R64" s="217" t="s">
        <v>30</v>
      </c>
      <c r="S64" s="216" t="s">
        <v>31</v>
      </c>
      <c r="T64" s="222" t="s">
        <v>344</v>
      </c>
      <c r="U64" s="222"/>
      <c r="V64" s="222"/>
    </row>
    <row r="65" spans="1:30" ht="86.45" customHeight="1" x14ac:dyDescent="0.75">
      <c r="A65" s="333">
        <v>25</v>
      </c>
      <c r="B65" s="353" t="s">
        <v>537</v>
      </c>
      <c r="C65" s="333" t="s">
        <v>536</v>
      </c>
      <c r="D65" s="354">
        <v>900000001426</v>
      </c>
      <c r="E65" s="221"/>
      <c r="F65" s="216" t="s">
        <v>20</v>
      </c>
      <c r="G65" s="216">
        <v>26.195</v>
      </c>
      <c r="H65" s="233">
        <v>5.3750999999999998</v>
      </c>
      <c r="I65" s="233">
        <f>+H65*0.005</f>
        <v>2.68755E-2</v>
      </c>
      <c r="J65" s="233">
        <v>0</v>
      </c>
      <c r="K65" s="233">
        <f>(28*1000/1000000)</f>
        <v>2.8000000000000001E-2</v>
      </c>
      <c r="L65" s="233">
        <f>+H65*(8.5/100)</f>
        <v>0.4568835</v>
      </c>
      <c r="M65" s="237">
        <v>0</v>
      </c>
      <c r="N65" s="233">
        <f>(466*1000/1000000)</f>
        <v>0.46600000000000003</v>
      </c>
      <c r="O65" s="233">
        <f t="shared" ref="O65:O71" si="14">+I65+L65</f>
        <v>0.48375899999999999</v>
      </c>
      <c r="P65" s="233">
        <f t="shared" ref="P65:P71" si="15">+((J65+K65)+(M65+N65))</f>
        <v>0.49400000000000005</v>
      </c>
      <c r="Q65" s="233">
        <f t="shared" ref="Q65:Q71" si="16">+O65-P65</f>
        <v>-1.0241000000000056E-2</v>
      </c>
      <c r="R65" s="217" t="s">
        <v>372</v>
      </c>
      <c r="S65" s="216" t="s">
        <v>949</v>
      </c>
      <c r="T65" s="222" t="s">
        <v>282</v>
      </c>
      <c r="U65" s="222" t="s">
        <v>310</v>
      </c>
      <c r="V65" s="222"/>
    </row>
    <row r="66" spans="1:30" ht="86.45" customHeight="1" x14ac:dyDescent="0.75">
      <c r="A66" s="333"/>
      <c r="B66" s="353"/>
      <c r="C66" s="333"/>
      <c r="D66" s="354"/>
      <c r="E66" s="221"/>
      <c r="F66" s="216" t="s">
        <v>24</v>
      </c>
      <c r="G66" s="216">
        <v>9.44</v>
      </c>
      <c r="H66" s="233">
        <v>10.075621</v>
      </c>
      <c r="I66" s="233">
        <f>+H66*(2.75/100)</f>
        <v>0.27707957750000001</v>
      </c>
      <c r="J66" s="233">
        <v>0</v>
      </c>
      <c r="K66" s="233">
        <f>((278)*1000)/1000000</f>
        <v>0.27800000000000002</v>
      </c>
      <c r="L66" s="233">
        <f>+H66*(11/100)</f>
        <v>1.10831831</v>
      </c>
      <c r="M66" s="237">
        <v>0</v>
      </c>
      <c r="N66" s="233">
        <f>((1109)*1000)/1000000</f>
        <v>1.109</v>
      </c>
      <c r="O66" s="233">
        <f t="shared" si="14"/>
        <v>1.3853978874999999</v>
      </c>
      <c r="P66" s="233">
        <f t="shared" si="15"/>
        <v>1.387</v>
      </c>
      <c r="Q66" s="233">
        <f t="shared" si="16"/>
        <v>-1.6021125000000858E-3</v>
      </c>
      <c r="R66" s="216" t="s">
        <v>498</v>
      </c>
      <c r="S66" s="217" t="s">
        <v>42</v>
      </c>
      <c r="T66" s="222" t="s">
        <v>282</v>
      </c>
      <c r="U66" s="222" t="s">
        <v>310</v>
      </c>
      <c r="V66" s="222"/>
      <c r="W66" s="14"/>
      <c r="X66" s="14"/>
      <c r="Y66" s="14"/>
      <c r="Z66" s="14"/>
      <c r="AA66" s="14"/>
      <c r="AB66" s="14"/>
      <c r="AC66" s="14"/>
      <c r="AD66" s="14"/>
    </row>
    <row r="67" spans="1:30" ht="86.45" customHeight="1" x14ac:dyDescent="0.75">
      <c r="A67" s="333"/>
      <c r="B67" s="353"/>
      <c r="C67" s="333"/>
      <c r="D67" s="354"/>
      <c r="E67" s="221"/>
      <c r="F67" s="216" t="s">
        <v>27</v>
      </c>
      <c r="G67" s="216">
        <v>9.5399999999999991</v>
      </c>
      <c r="H67" s="233">
        <v>35.5366</v>
      </c>
      <c r="I67" s="233">
        <f>+H67*(3.5/100)</f>
        <v>1.243781</v>
      </c>
      <c r="J67" s="233">
        <v>0</v>
      </c>
      <c r="K67" s="233">
        <f>((41+1053+71+79)*1000)/1000000</f>
        <v>1.244</v>
      </c>
      <c r="L67" s="233">
        <f>+H67*(11.5/100)</f>
        <v>4.0867089999999999</v>
      </c>
      <c r="M67" s="237">
        <v>0</v>
      </c>
      <c r="N67" s="233">
        <f>((3163+431+493)*1000)/1000000</f>
        <v>4.0869999999999997</v>
      </c>
      <c r="O67" s="233">
        <f t="shared" si="14"/>
        <v>5.3304900000000002</v>
      </c>
      <c r="P67" s="233">
        <f t="shared" si="15"/>
        <v>5.3309999999999995</v>
      </c>
      <c r="Q67" s="233">
        <f t="shared" si="16"/>
        <v>-5.0999999999934431E-4</v>
      </c>
      <c r="R67" s="216" t="s">
        <v>43</v>
      </c>
      <c r="S67" s="217" t="s">
        <v>44</v>
      </c>
      <c r="T67" s="222" t="s">
        <v>282</v>
      </c>
      <c r="U67" s="222" t="s">
        <v>310</v>
      </c>
      <c r="V67" s="222"/>
      <c r="W67" s="14"/>
      <c r="X67" s="14"/>
      <c r="Y67" s="14"/>
      <c r="Z67" s="14"/>
      <c r="AA67" s="14"/>
      <c r="AB67" s="14"/>
      <c r="AC67" s="14"/>
      <c r="AD67" s="14"/>
    </row>
    <row r="68" spans="1:30" ht="86.45" customHeight="1" x14ac:dyDescent="0.75">
      <c r="A68" s="333"/>
      <c r="B68" s="353"/>
      <c r="C68" s="333" t="s">
        <v>536</v>
      </c>
      <c r="D68" s="354">
        <v>900000799918</v>
      </c>
      <c r="E68" s="221"/>
      <c r="F68" s="216" t="s">
        <v>20</v>
      </c>
      <c r="G68" s="216">
        <v>10</v>
      </c>
      <c r="H68" s="233">
        <f>4103939/1000000</f>
        <v>4.1039389999999996</v>
      </c>
      <c r="I68" s="233">
        <f>+H68*0.005</f>
        <v>2.0519694999999998E-2</v>
      </c>
      <c r="J68" s="233">
        <v>0</v>
      </c>
      <c r="K68" s="233">
        <f>(21*1000/1000000)</f>
        <v>2.1000000000000001E-2</v>
      </c>
      <c r="L68" s="233">
        <f>+H68*(8.5/100)</f>
        <v>0.34883481499999996</v>
      </c>
      <c r="M68" s="237">
        <v>0</v>
      </c>
      <c r="N68" s="233">
        <f>(349*1000/1000000)</f>
        <v>0.34899999999999998</v>
      </c>
      <c r="O68" s="233">
        <f t="shared" si="14"/>
        <v>0.36935450999999997</v>
      </c>
      <c r="P68" s="233">
        <f t="shared" si="15"/>
        <v>0.37</v>
      </c>
      <c r="Q68" s="233">
        <f t="shared" si="16"/>
        <v>-6.4549000000002632E-4</v>
      </c>
      <c r="R68" s="217" t="s">
        <v>372</v>
      </c>
      <c r="S68" s="216" t="s">
        <v>949</v>
      </c>
      <c r="T68" s="222" t="s">
        <v>282</v>
      </c>
      <c r="U68" s="222" t="s">
        <v>310</v>
      </c>
      <c r="V68" s="222"/>
    </row>
    <row r="69" spans="1:30" ht="86.45" customHeight="1" x14ac:dyDescent="0.75">
      <c r="A69" s="333"/>
      <c r="B69" s="353"/>
      <c r="C69" s="333"/>
      <c r="D69" s="354"/>
      <c r="E69" s="221"/>
      <c r="F69" s="216" t="s">
        <v>24</v>
      </c>
      <c r="G69" s="216">
        <v>9.44</v>
      </c>
      <c r="H69" s="233">
        <v>10.026092999999999</v>
      </c>
      <c r="I69" s="233">
        <f>+H69*(2.75/100)</f>
        <v>0.27571755749999999</v>
      </c>
      <c r="J69" s="233">
        <v>0</v>
      </c>
      <c r="K69" s="233">
        <f>((276)*1000)/1000000</f>
        <v>0.27600000000000002</v>
      </c>
      <c r="L69" s="233">
        <f>+H69*(11/100)</f>
        <v>1.10287023</v>
      </c>
      <c r="M69" s="237">
        <v>0</v>
      </c>
      <c r="N69" s="233">
        <f>((1103)*1000)/1000000</f>
        <v>1.103</v>
      </c>
      <c r="O69" s="233">
        <f t="shared" si="14"/>
        <v>1.3785877874999999</v>
      </c>
      <c r="P69" s="233">
        <f t="shared" si="15"/>
        <v>1.379</v>
      </c>
      <c r="Q69" s="233">
        <f t="shared" si="16"/>
        <v>-4.1221250000011977E-4</v>
      </c>
      <c r="R69" s="216" t="s">
        <v>499</v>
      </c>
      <c r="S69" s="217" t="s">
        <v>41</v>
      </c>
      <c r="T69" s="222" t="s">
        <v>282</v>
      </c>
      <c r="U69" s="222" t="s">
        <v>310</v>
      </c>
      <c r="V69" s="222"/>
      <c r="W69" s="14"/>
      <c r="X69" s="14"/>
      <c r="Y69" s="14"/>
      <c r="Z69" s="14"/>
      <c r="AA69" s="14"/>
      <c r="AB69" s="14"/>
      <c r="AC69" s="14"/>
      <c r="AD69" s="14"/>
    </row>
    <row r="70" spans="1:30" ht="86.45" customHeight="1" x14ac:dyDescent="0.75">
      <c r="A70" s="333"/>
      <c r="B70" s="353"/>
      <c r="C70" s="333"/>
      <c r="D70" s="354"/>
      <c r="E70" s="221"/>
      <c r="F70" s="216" t="s">
        <v>27</v>
      </c>
      <c r="G70" s="216">
        <v>9.4499999999999993</v>
      </c>
      <c r="H70" s="233">
        <v>35.42</v>
      </c>
      <c r="I70" s="233">
        <f>+H70*(3.5/100)</f>
        <v>1.2397000000000002</v>
      </c>
      <c r="J70" s="233">
        <v>0</v>
      </c>
      <c r="K70" s="233">
        <f>((42+1052+69+77)*1000)/1000000</f>
        <v>1.24</v>
      </c>
      <c r="L70" s="233">
        <f>+H70*(11.5/100)</f>
        <v>4.0733000000000006</v>
      </c>
      <c r="M70" s="237">
        <v>0</v>
      </c>
      <c r="N70" s="233">
        <f>((3208+385+481)*1000)/1000000</f>
        <v>4.0739999999999998</v>
      </c>
      <c r="O70" s="233">
        <f t="shared" si="14"/>
        <v>5.3130000000000006</v>
      </c>
      <c r="P70" s="233">
        <f t="shared" si="15"/>
        <v>5.3140000000000001</v>
      </c>
      <c r="Q70" s="233">
        <f t="shared" si="16"/>
        <v>-9.9999999999944578E-4</v>
      </c>
      <c r="R70" s="216" t="s">
        <v>43</v>
      </c>
      <c r="S70" s="217" t="s">
        <v>44</v>
      </c>
      <c r="T70" s="222" t="s">
        <v>282</v>
      </c>
      <c r="U70" s="222" t="s">
        <v>310</v>
      </c>
      <c r="V70" s="222"/>
      <c r="W70" s="14"/>
      <c r="X70" s="14"/>
      <c r="Y70" s="14"/>
      <c r="Z70" s="14"/>
      <c r="AA70" s="14"/>
      <c r="AB70" s="14"/>
      <c r="AC70" s="14"/>
      <c r="AD70" s="14"/>
    </row>
    <row r="71" spans="1:30" ht="86.45" customHeight="1" x14ac:dyDescent="0.75">
      <c r="A71" s="333"/>
      <c r="B71" s="353"/>
      <c r="C71" s="333" t="s">
        <v>536</v>
      </c>
      <c r="D71" s="354">
        <v>900000799917</v>
      </c>
      <c r="E71" s="221"/>
      <c r="F71" s="216" t="s">
        <v>20</v>
      </c>
      <c r="G71" s="216">
        <v>10</v>
      </c>
      <c r="H71" s="233">
        <v>4.1039500000000002</v>
      </c>
      <c r="I71" s="233">
        <f>+H71*0.005</f>
        <v>2.051975E-2</v>
      </c>
      <c r="J71" s="233">
        <v>0</v>
      </c>
      <c r="K71" s="233">
        <f>(21*1000/1000000)</f>
        <v>2.1000000000000001E-2</v>
      </c>
      <c r="L71" s="233">
        <f>+H71*(8.5/100)</f>
        <v>0.34883575000000006</v>
      </c>
      <c r="M71" s="237">
        <v>0</v>
      </c>
      <c r="N71" s="233">
        <f>(349*1000/1000000)</f>
        <v>0.34899999999999998</v>
      </c>
      <c r="O71" s="233">
        <f t="shared" si="14"/>
        <v>0.36935550000000006</v>
      </c>
      <c r="P71" s="233">
        <f t="shared" si="15"/>
        <v>0.37</v>
      </c>
      <c r="Q71" s="233">
        <f t="shared" si="16"/>
        <v>-6.4449999999993679E-4</v>
      </c>
      <c r="R71" s="217" t="s">
        <v>46</v>
      </c>
      <c r="S71" s="216" t="s">
        <v>950</v>
      </c>
      <c r="T71" s="222" t="s">
        <v>282</v>
      </c>
      <c r="U71" s="222" t="s">
        <v>310</v>
      </c>
      <c r="V71" s="222"/>
    </row>
    <row r="72" spans="1:30" ht="86.45" customHeight="1" x14ac:dyDescent="0.75">
      <c r="A72" s="333"/>
      <c r="B72" s="353"/>
      <c r="C72" s="333"/>
      <c r="D72" s="354"/>
      <c r="E72" s="221"/>
      <c r="F72" s="216" t="s">
        <v>24</v>
      </c>
      <c r="G72" s="216">
        <v>9.44</v>
      </c>
      <c r="H72" s="233">
        <v>10.02713</v>
      </c>
      <c r="I72" s="233">
        <f>+H72*(2.75/100)</f>
        <v>0.27574607499999998</v>
      </c>
      <c r="J72" s="233">
        <v>0</v>
      </c>
      <c r="K72" s="233">
        <f>((276)*1000)/1000000</f>
        <v>0.27600000000000002</v>
      </c>
      <c r="L72" s="233">
        <f>+H72*(11/100)</f>
        <v>1.1029842999999999</v>
      </c>
      <c r="M72" s="237">
        <v>0</v>
      </c>
      <c r="N72" s="233">
        <f>((1103)*1000)/1000000</f>
        <v>1.103</v>
      </c>
      <c r="O72" s="233">
        <f t="shared" si="5"/>
        <v>1.378730375</v>
      </c>
      <c r="P72" s="233">
        <f t="shared" si="13"/>
        <v>1.379</v>
      </c>
      <c r="Q72" s="233">
        <f t="shared" si="12"/>
        <v>-2.6962500000005107E-4</v>
      </c>
      <c r="R72" s="216" t="s">
        <v>499</v>
      </c>
      <c r="S72" s="217" t="s">
        <v>42</v>
      </c>
      <c r="T72" s="222" t="s">
        <v>282</v>
      </c>
      <c r="U72" s="222" t="s">
        <v>310</v>
      </c>
      <c r="V72" s="222"/>
      <c r="W72" s="14"/>
      <c r="X72" s="14"/>
      <c r="Y72" s="14"/>
      <c r="Z72" s="14"/>
      <c r="AA72" s="14"/>
      <c r="AB72" s="14"/>
      <c r="AC72" s="14"/>
      <c r="AD72" s="14"/>
    </row>
    <row r="73" spans="1:30" ht="86.45" customHeight="1" x14ac:dyDescent="0.75">
      <c r="A73" s="333"/>
      <c r="B73" s="353"/>
      <c r="C73" s="333"/>
      <c r="D73" s="354"/>
      <c r="E73" s="221"/>
      <c r="F73" s="216" t="s">
        <v>27</v>
      </c>
      <c r="G73" s="216">
        <v>9.4499999999999993</v>
      </c>
      <c r="H73" s="233">
        <v>35.445500000000003</v>
      </c>
      <c r="I73" s="233">
        <f>+H73*(3.5/100)</f>
        <v>1.2405925000000002</v>
      </c>
      <c r="J73" s="233">
        <v>0</v>
      </c>
      <c r="K73" s="233">
        <f>((42+1053+69+77)*1000)/1000000</f>
        <v>1.2410000000000001</v>
      </c>
      <c r="L73" s="233">
        <f>+H73*(11.5/100)</f>
        <v>4.0762325000000006</v>
      </c>
      <c r="M73" s="237">
        <v>0</v>
      </c>
      <c r="N73" s="233">
        <f>((3211+385+481)*1000)/1000000</f>
        <v>4.077</v>
      </c>
      <c r="O73" s="233">
        <f t="shared" si="5"/>
        <v>5.3168250000000006</v>
      </c>
      <c r="P73" s="233">
        <f t="shared" si="13"/>
        <v>5.3179999999999996</v>
      </c>
      <c r="Q73" s="233">
        <f t="shared" si="12"/>
        <v>-1.1749999999990379E-3</v>
      </c>
      <c r="R73" s="216" t="s">
        <v>43</v>
      </c>
      <c r="S73" s="217" t="s">
        <v>44</v>
      </c>
      <c r="T73" s="222" t="s">
        <v>282</v>
      </c>
      <c r="U73" s="222" t="s">
        <v>310</v>
      </c>
      <c r="V73" s="222"/>
      <c r="W73" s="14"/>
      <c r="X73" s="14"/>
      <c r="Y73" s="14"/>
      <c r="Z73" s="14"/>
      <c r="AA73" s="14"/>
      <c r="AB73" s="14"/>
      <c r="AC73" s="14"/>
      <c r="AD73" s="14"/>
    </row>
    <row r="74" spans="1:30" ht="86.45" customHeight="1" x14ac:dyDescent="0.75">
      <c r="A74" s="324">
        <v>26</v>
      </c>
      <c r="B74" s="324" t="s">
        <v>538</v>
      </c>
      <c r="C74" s="330" t="s">
        <v>511</v>
      </c>
      <c r="D74" s="347">
        <v>450019001852</v>
      </c>
      <c r="E74" s="221" t="s">
        <v>1298</v>
      </c>
      <c r="F74" s="216" t="s">
        <v>20</v>
      </c>
      <c r="G74" s="216">
        <v>7.1449999999999996</v>
      </c>
      <c r="H74" s="233">
        <v>13.298120000000001</v>
      </c>
      <c r="I74" s="233">
        <f>+H74*0.005</f>
        <v>6.6490600000000011E-2</v>
      </c>
      <c r="J74" s="233">
        <v>0</v>
      </c>
      <c r="K74" s="233">
        <f>(62)*1000/1000000</f>
        <v>6.2E-2</v>
      </c>
      <c r="L74" s="233">
        <f>+H74*(8.5/100)</f>
        <v>1.1303402000000002</v>
      </c>
      <c r="M74" s="237">
        <v>0</v>
      </c>
      <c r="N74" s="233">
        <f>(1057)*1000/1000000</f>
        <v>1.0569999999999999</v>
      </c>
      <c r="O74" s="233">
        <f t="shared" si="5"/>
        <v>1.1968308000000003</v>
      </c>
      <c r="P74" s="233">
        <f t="shared" si="13"/>
        <v>1.119</v>
      </c>
      <c r="Q74" s="233">
        <f t="shared" si="12"/>
        <v>7.7830800000000311E-2</v>
      </c>
      <c r="R74" s="217" t="s">
        <v>284</v>
      </c>
      <c r="S74" s="216" t="s">
        <v>951</v>
      </c>
      <c r="T74" s="222" t="s">
        <v>282</v>
      </c>
      <c r="U74" s="222" t="s">
        <v>283</v>
      </c>
      <c r="V74" s="222"/>
    </row>
    <row r="75" spans="1:30" ht="86.45" customHeight="1" x14ac:dyDescent="0.75">
      <c r="A75" s="326"/>
      <c r="B75" s="326"/>
      <c r="C75" s="332"/>
      <c r="D75" s="348"/>
      <c r="E75" s="257" t="s">
        <v>1352</v>
      </c>
      <c r="F75" s="254" t="s">
        <v>20</v>
      </c>
      <c r="G75" s="254">
        <v>7.1449999999999996</v>
      </c>
      <c r="H75" s="255">
        <v>12.356501</v>
      </c>
      <c r="I75" s="255">
        <v>6.1782509999999999E-2</v>
      </c>
      <c r="J75" s="255">
        <v>0</v>
      </c>
      <c r="K75" s="255">
        <v>6.2E-2</v>
      </c>
      <c r="L75" s="255">
        <v>1.05030259</v>
      </c>
      <c r="M75" s="256">
        <v>0</v>
      </c>
      <c r="N75" s="255">
        <v>1.0569999999999999</v>
      </c>
      <c r="O75" s="255">
        <v>1.111208</v>
      </c>
      <c r="P75" s="255">
        <v>1.119</v>
      </c>
      <c r="Q75" s="255">
        <v>-6.9148999999999999E-3</v>
      </c>
      <c r="R75" s="258"/>
      <c r="S75" s="254"/>
      <c r="T75" s="222"/>
      <c r="U75" s="222"/>
      <c r="V75" s="222"/>
    </row>
    <row r="76" spans="1:30" s="244" customFormat="1" ht="86.45" customHeight="1" x14ac:dyDescent="0.75">
      <c r="A76" s="330">
        <v>27</v>
      </c>
      <c r="B76" s="324" t="s">
        <v>539</v>
      </c>
      <c r="C76" s="330" t="s">
        <v>511</v>
      </c>
      <c r="D76" s="347">
        <v>49069000664</v>
      </c>
      <c r="E76" s="347" t="s">
        <v>1298</v>
      </c>
      <c r="F76" s="216" t="s">
        <v>18</v>
      </c>
      <c r="G76" s="216">
        <v>5</v>
      </c>
      <c r="H76" s="233">
        <v>26.236173999999998</v>
      </c>
      <c r="I76" s="233">
        <f>+H76*0.005</f>
        <v>0.13118087</v>
      </c>
      <c r="J76" s="233">
        <v>0</v>
      </c>
      <c r="K76" s="233">
        <f>(126*1000/1000000)</f>
        <v>0.126</v>
      </c>
      <c r="L76" s="233">
        <f>+H76*(8.5/100)</f>
        <v>2.2300747900000002</v>
      </c>
      <c r="M76" s="237">
        <v>0</v>
      </c>
      <c r="N76" s="233">
        <v>2.1269999999999998</v>
      </c>
      <c r="O76" s="233">
        <f t="shared" si="5"/>
        <v>2.3612556600000003</v>
      </c>
      <c r="P76" s="233">
        <f t="shared" si="13"/>
        <v>2.2529999999999997</v>
      </c>
      <c r="Q76" s="233">
        <f t="shared" si="12"/>
        <v>0.10825566000000064</v>
      </c>
      <c r="R76" s="217" t="s">
        <v>284</v>
      </c>
      <c r="S76" s="216" t="s">
        <v>952</v>
      </c>
      <c r="T76" s="243" t="s">
        <v>282</v>
      </c>
      <c r="U76" s="243" t="s">
        <v>283</v>
      </c>
      <c r="V76" s="243"/>
    </row>
    <row r="77" spans="1:30" s="244" customFormat="1" ht="86.45" customHeight="1" x14ac:dyDescent="0.75">
      <c r="A77" s="331"/>
      <c r="B77" s="325"/>
      <c r="C77" s="331"/>
      <c r="D77" s="349"/>
      <c r="E77" s="349"/>
      <c r="F77" s="216" t="s">
        <v>20</v>
      </c>
      <c r="G77" s="216">
        <v>5</v>
      </c>
      <c r="H77" s="233">
        <v>43.715916</v>
      </c>
      <c r="I77" s="233">
        <f>+H77*0.005</f>
        <v>0.21857958</v>
      </c>
      <c r="J77" s="233">
        <v>0</v>
      </c>
      <c r="K77" s="233">
        <v>0</v>
      </c>
      <c r="L77" s="233">
        <f>+H77*(8.5/100)</f>
        <v>3.7158528600000005</v>
      </c>
      <c r="M77" s="237">
        <v>0</v>
      </c>
      <c r="N77" s="233">
        <v>0</v>
      </c>
      <c r="O77" s="233">
        <f>+I77+L77</f>
        <v>3.9344324400000006</v>
      </c>
      <c r="P77" s="233">
        <f t="shared" ref="P77:P83" si="17">+((J77+K77)+(M77+N77))</f>
        <v>0</v>
      </c>
      <c r="Q77" s="233">
        <f>+O77-P77</f>
        <v>3.9344324400000006</v>
      </c>
      <c r="R77" s="217" t="s">
        <v>292</v>
      </c>
      <c r="S77" s="216" t="s">
        <v>953</v>
      </c>
      <c r="T77" s="243" t="s">
        <v>282</v>
      </c>
      <c r="U77" s="243" t="s">
        <v>283</v>
      </c>
      <c r="V77" s="243"/>
    </row>
    <row r="78" spans="1:30" s="244" customFormat="1" ht="86.45" customHeight="1" x14ac:dyDescent="0.75">
      <c r="A78" s="331"/>
      <c r="B78" s="325"/>
      <c r="C78" s="331"/>
      <c r="D78" s="349"/>
      <c r="E78" s="349"/>
      <c r="F78" s="216" t="s">
        <v>21</v>
      </c>
      <c r="G78" s="216">
        <v>7</v>
      </c>
      <c r="H78" s="233">
        <v>43.621923000000002</v>
      </c>
      <c r="I78" s="233">
        <f>+H78*0.01</f>
        <v>0.43621923000000001</v>
      </c>
      <c r="J78" s="233">
        <v>0</v>
      </c>
      <c r="K78" s="233">
        <v>0</v>
      </c>
      <c r="L78" s="233">
        <f>+H78*(10/100)</f>
        <v>4.3621923000000002</v>
      </c>
      <c r="M78" s="237">
        <v>0</v>
      </c>
      <c r="N78" s="233">
        <v>0</v>
      </c>
      <c r="O78" s="233">
        <f>+I78+L78</f>
        <v>4.7984115300000001</v>
      </c>
      <c r="P78" s="233">
        <f t="shared" si="17"/>
        <v>0</v>
      </c>
      <c r="Q78" s="233">
        <f>+O78-P78</f>
        <v>4.7984115300000001</v>
      </c>
      <c r="R78" s="217" t="s">
        <v>19</v>
      </c>
      <c r="S78" s="216" t="s">
        <v>490</v>
      </c>
      <c r="T78" s="243" t="s">
        <v>344</v>
      </c>
      <c r="U78" s="243"/>
      <c r="V78" s="243"/>
    </row>
    <row r="79" spans="1:30" s="244" customFormat="1" ht="86.45" customHeight="1" x14ac:dyDescent="0.75">
      <c r="A79" s="331"/>
      <c r="B79" s="325"/>
      <c r="C79" s="331"/>
      <c r="D79" s="349"/>
      <c r="E79" s="348"/>
      <c r="F79" s="216" t="s">
        <v>22</v>
      </c>
      <c r="G79" s="216">
        <v>5</v>
      </c>
      <c r="H79" s="233">
        <f>19930560/1000000</f>
        <v>19.93056</v>
      </c>
      <c r="I79" s="233">
        <f>+H79*0.02</f>
        <v>0.3986112</v>
      </c>
      <c r="J79" s="233">
        <v>0</v>
      </c>
      <c r="K79" s="233">
        <v>0</v>
      </c>
      <c r="L79" s="233">
        <f>+H79*(10.5/100)</f>
        <v>2.0927088</v>
      </c>
      <c r="M79" s="237">
        <v>0</v>
      </c>
      <c r="N79" s="233">
        <v>0</v>
      </c>
      <c r="O79" s="233">
        <f>+I79+L79</f>
        <v>2.49132</v>
      </c>
      <c r="P79" s="233">
        <f t="shared" si="17"/>
        <v>0</v>
      </c>
      <c r="Q79" s="233">
        <f>+O79-P79</f>
        <v>2.49132</v>
      </c>
      <c r="R79" s="216" t="s">
        <v>19</v>
      </c>
      <c r="S79" s="216" t="s">
        <v>45</v>
      </c>
      <c r="T79" s="243" t="s">
        <v>344</v>
      </c>
      <c r="U79" s="243"/>
      <c r="V79" s="243"/>
      <c r="W79" s="245"/>
      <c r="X79" s="245"/>
      <c r="Y79" s="245"/>
      <c r="Z79" s="245"/>
      <c r="AA79" s="245"/>
      <c r="AB79" s="245"/>
      <c r="AC79" s="245"/>
      <c r="AD79" s="245"/>
    </row>
    <row r="80" spans="1:30" s="244" customFormat="1" ht="86.45" customHeight="1" x14ac:dyDescent="0.75">
      <c r="A80" s="331"/>
      <c r="B80" s="325"/>
      <c r="C80" s="331"/>
      <c r="D80" s="349"/>
      <c r="E80" s="350" t="s">
        <v>1369</v>
      </c>
      <c r="F80" s="254" t="s">
        <v>18</v>
      </c>
      <c r="G80" s="254">
        <v>5</v>
      </c>
      <c r="H80" s="255">
        <v>25.013999999999999</v>
      </c>
      <c r="I80" s="255">
        <v>0.12509999999999999</v>
      </c>
      <c r="J80" s="255">
        <v>0</v>
      </c>
      <c r="K80" s="255">
        <v>0.126</v>
      </c>
      <c r="L80" s="255">
        <v>2.1261999999999999</v>
      </c>
      <c r="M80" s="256">
        <v>0</v>
      </c>
      <c r="N80" s="255">
        <v>2.1269999999999998</v>
      </c>
      <c r="O80" s="255">
        <v>2.2513000000000001</v>
      </c>
      <c r="P80" s="255">
        <f t="shared" si="17"/>
        <v>2.2529999999999997</v>
      </c>
      <c r="Q80" s="255">
        <f t="shared" ref="Q80:Q83" si="18">+O80-P80</f>
        <v>-1.6999999999995907E-3</v>
      </c>
      <c r="R80" s="254"/>
      <c r="S80" s="254"/>
      <c r="T80" s="243"/>
      <c r="U80" s="243"/>
      <c r="V80" s="243"/>
      <c r="W80" s="245"/>
      <c r="X80" s="245"/>
      <c r="Y80" s="245"/>
      <c r="Z80" s="245"/>
      <c r="AA80" s="245"/>
      <c r="AB80" s="245"/>
      <c r="AC80" s="245"/>
      <c r="AD80" s="245"/>
    </row>
    <row r="81" spans="1:30" s="244" customFormat="1" ht="86.45" customHeight="1" x14ac:dyDescent="0.75">
      <c r="A81" s="331"/>
      <c r="B81" s="325"/>
      <c r="C81" s="331"/>
      <c r="D81" s="349"/>
      <c r="E81" s="351"/>
      <c r="F81" s="254" t="s">
        <v>20</v>
      </c>
      <c r="G81" s="254">
        <v>5</v>
      </c>
      <c r="H81" s="255">
        <v>41.69</v>
      </c>
      <c r="I81" s="255">
        <v>0.20849999999999999</v>
      </c>
      <c r="J81" s="255">
        <v>0</v>
      </c>
      <c r="K81" s="255">
        <v>0.20899999999999999</v>
      </c>
      <c r="L81" s="255">
        <v>3.5436999999999999</v>
      </c>
      <c r="M81" s="256">
        <v>2.1227999999999998</v>
      </c>
      <c r="N81" s="255">
        <v>1.43</v>
      </c>
      <c r="O81" s="255">
        <v>3.7521</v>
      </c>
      <c r="P81" s="255">
        <f t="shared" si="17"/>
        <v>3.7617999999999996</v>
      </c>
      <c r="Q81" s="255">
        <f t="shared" si="18"/>
        <v>-9.6999999999995978E-3</v>
      </c>
      <c r="R81" s="254"/>
      <c r="S81" s="254"/>
      <c r="T81" s="243"/>
      <c r="U81" s="243"/>
      <c r="V81" s="243"/>
      <c r="W81" s="245"/>
      <c r="X81" s="245"/>
      <c r="Y81" s="245"/>
      <c r="Z81" s="245"/>
      <c r="AA81" s="245"/>
      <c r="AB81" s="245"/>
      <c r="AC81" s="245"/>
      <c r="AD81" s="245"/>
    </row>
    <row r="82" spans="1:30" s="244" customFormat="1" ht="86.45" customHeight="1" x14ac:dyDescent="0.75">
      <c r="A82" s="331"/>
      <c r="B82" s="325"/>
      <c r="C82" s="331"/>
      <c r="D82" s="349"/>
      <c r="E82" s="351"/>
      <c r="F82" s="254" t="s">
        <v>21</v>
      </c>
      <c r="G82" s="254">
        <v>5</v>
      </c>
      <c r="H82" s="255">
        <v>41.790999999999997</v>
      </c>
      <c r="I82" s="255">
        <v>0.41789999999999999</v>
      </c>
      <c r="J82" s="255">
        <v>0.9929</v>
      </c>
      <c r="K82" s="255">
        <v>0.222</v>
      </c>
      <c r="L82" s="255">
        <v>4.1791</v>
      </c>
      <c r="M82" s="256">
        <v>0.27510000000000001</v>
      </c>
      <c r="N82" s="255">
        <v>3.8759999999999999</v>
      </c>
      <c r="O82" s="255">
        <v>4.5970000000000004</v>
      </c>
      <c r="P82" s="255">
        <f t="shared" si="17"/>
        <v>5.3659999999999997</v>
      </c>
      <c r="Q82" s="255">
        <f t="shared" si="18"/>
        <v>-0.76899999999999924</v>
      </c>
      <c r="R82" s="254"/>
      <c r="S82" s="254"/>
      <c r="T82" s="243"/>
      <c r="U82" s="243"/>
      <c r="V82" s="243"/>
      <c r="W82" s="245"/>
      <c r="X82" s="245"/>
      <c r="Y82" s="245"/>
      <c r="Z82" s="245"/>
      <c r="AA82" s="245"/>
      <c r="AB82" s="245"/>
      <c r="AC82" s="245"/>
      <c r="AD82" s="245"/>
    </row>
    <row r="83" spans="1:30" s="244" customFormat="1" ht="86.45" customHeight="1" x14ac:dyDescent="0.75">
      <c r="A83" s="331"/>
      <c r="B83" s="325"/>
      <c r="C83" s="331"/>
      <c r="D83" s="349"/>
      <c r="E83" s="351"/>
      <c r="F83" s="254" t="s">
        <v>22</v>
      </c>
      <c r="G83" s="254">
        <v>5</v>
      </c>
      <c r="H83" s="255">
        <v>20.716000000000001</v>
      </c>
      <c r="I83" s="255">
        <v>0.4143</v>
      </c>
      <c r="J83" s="255">
        <v>0</v>
      </c>
      <c r="K83" s="255">
        <v>0</v>
      </c>
      <c r="L83" s="255">
        <v>2.1751</v>
      </c>
      <c r="M83" s="256">
        <v>1.9292</v>
      </c>
      <c r="N83" s="255">
        <v>0</v>
      </c>
      <c r="O83" s="255">
        <v>2.5893999999999999</v>
      </c>
      <c r="P83" s="255">
        <f t="shared" si="17"/>
        <v>1.9292</v>
      </c>
      <c r="Q83" s="255">
        <f t="shared" si="18"/>
        <v>0.6601999999999999</v>
      </c>
      <c r="R83" s="254"/>
      <c r="S83" s="254"/>
      <c r="T83" s="243"/>
      <c r="U83" s="243"/>
      <c r="V83" s="243"/>
      <c r="W83" s="245"/>
      <c r="X83" s="245"/>
      <c r="Y83" s="245"/>
      <c r="Z83" s="245"/>
      <c r="AA83" s="245"/>
      <c r="AB83" s="245"/>
      <c r="AC83" s="245"/>
      <c r="AD83" s="245"/>
    </row>
    <row r="84" spans="1:30" ht="86.45" customHeight="1" x14ac:dyDescent="0.75">
      <c r="A84" s="333">
        <v>28</v>
      </c>
      <c r="B84" s="353" t="s">
        <v>540</v>
      </c>
      <c r="C84" s="333" t="s">
        <v>511</v>
      </c>
      <c r="D84" s="354">
        <v>176029030376</v>
      </c>
      <c r="E84" s="221"/>
      <c r="F84" s="216" t="s">
        <v>18</v>
      </c>
      <c r="G84" s="216">
        <v>1</v>
      </c>
      <c r="H84" s="233">
        <v>8.1634670000000007</v>
      </c>
      <c r="I84" s="233">
        <f>+H84*0.005</f>
        <v>4.0817335000000003E-2</v>
      </c>
      <c r="J84" s="233">
        <v>0</v>
      </c>
      <c r="K84" s="233">
        <v>0</v>
      </c>
      <c r="L84" s="233">
        <f>+H84*(8.5/100)</f>
        <v>0.69389469500000012</v>
      </c>
      <c r="M84" s="237">
        <v>0</v>
      </c>
      <c r="N84" s="233">
        <v>0</v>
      </c>
      <c r="O84" s="233">
        <f t="shared" si="5"/>
        <v>0.73471203000000007</v>
      </c>
      <c r="P84" s="233">
        <f t="shared" si="13"/>
        <v>0</v>
      </c>
      <c r="Q84" s="233">
        <f t="shared" si="12"/>
        <v>0.73471203000000007</v>
      </c>
      <c r="R84" s="217" t="s">
        <v>19</v>
      </c>
      <c r="S84" s="216" t="s">
        <v>346</v>
      </c>
      <c r="T84" s="222" t="s">
        <v>344</v>
      </c>
      <c r="U84" s="222"/>
      <c r="V84" s="222"/>
    </row>
    <row r="85" spans="1:30" ht="86.45" customHeight="1" x14ac:dyDescent="0.75">
      <c r="A85" s="333"/>
      <c r="B85" s="353"/>
      <c r="C85" s="333"/>
      <c r="D85" s="354"/>
      <c r="E85" s="221"/>
      <c r="F85" s="216" t="s">
        <v>20</v>
      </c>
      <c r="G85" s="216">
        <v>1.5</v>
      </c>
      <c r="H85" s="233">
        <v>10.768376999999999</v>
      </c>
      <c r="I85" s="233">
        <f>+H85*0.005</f>
        <v>5.3841884999999999E-2</v>
      </c>
      <c r="J85" s="233">
        <v>0</v>
      </c>
      <c r="K85" s="233">
        <v>0</v>
      </c>
      <c r="L85" s="233">
        <f>+H85*(8.5/100)</f>
        <v>0.91531204499999996</v>
      </c>
      <c r="M85" s="237">
        <v>0</v>
      </c>
      <c r="N85" s="233">
        <v>0</v>
      </c>
      <c r="O85" s="233">
        <f t="shared" si="5"/>
        <v>0.96915392999999994</v>
      </c>
      <c r="P85" s="233">
        <f t="shared" si="13"/>
        <v>0</v>
      </c>
      <c r="Q85" s="233">
        <f t="shared" si="12"/>
        <v>0.96915392999999994</v>
      </c>
      <c r="R85" s="217" t="s">
        <v>19</v>
      </c>
      <c r="S85" s="216" t="s">
        <v>449</v>
      </c>
      <c r="T85" s="222" t="s">
        <v>344</v>
      </c>
      <c r="U85" s="222"/>
      <c r="V85" s="222"/>
    </row>
    <row r="86" spans="1:30" ht="86.45" customHeight="1" x14ac:dyDescent="0.75">
      <c r="A86" s="216">
        <v>29</v>
      </c>
      <c r="B86" s="220" t="s">
        <v>1273</v>
      </c>
      <c r="C86" s="216" t="s">
        <v>511</v>
      </c>
      <c r="D86" s="221">
        <v>420819006080</v>
      </c>
      <c r="E86" s="221"/>
      <c r="F86" s="216" t="s">
        <v>20</v>
      </c>
      <c r="G86" s="216">
        <v>3</v>
      </c>
      <c r="H86" s="233">
        <v>13.200701</v>
      </c>
      <c r="I86" s="233">
        <f>+H86*0.005</f>
        <v>6.6003505000000004E-2</v>
      </c>
      <c r="J86" s="233">
        <v>0</v>
      </c>
      <c r="K86" s="233">
        <v>0</v>
      </c>
      <c r="L86" s="233">
        <f>+H86*(8.5/100)</f>
        <v>1.1220595850000001</v>
      </c>
      <c r="M86" s="237">
        <v>0</v>
      </c>
      <c r="N86" s="233">
        <v>0</v>
      </c>
      <c r="O86" s="233">
        <f t="shared" si="5"/>
        <v>1.1880630900000002</v>
      </c>
      <c r="P86" s="233">
        <f t="shared" si="13"/>
        <v>0</v>
      </c>
      <c r="Q86" s="233">
        <f t="shared" si="12"/>
        <v>1.1880630900000002</v>
      </c>
      <c r="R86" s="217" t="s">
        <v>19</v>
      </c>
      <c r="S86" s="216" t="s">
        <v>446</v>
      </c>
      <c r="T86" s="222" t="s">
        <v>344</v>
      </c>
      <c r="U86" s="222"/>
      <c r="V86" s="222"/>
    </row>
    <row r="87" spans="1:30" ht="86.45" customHeight="1" x14ac:dyDescent="0.75">
      <c r="A87" s="333">
        <v>30</v>
      </c>
      <c r="B87" s="353" t="s">
        <v>543</v>
      </c>
      <c r="C87" s="333" t="s">
        <v>511</v>
      </c>
      <c r="D87" s="354">
        <v>490019009910</v>
      </c>
      <c r="E87" s="221"/>
      <c r="F87" s="216" t="s">
        <v>20</v>
      </c>
      <c r="G87" s="216">
        <v>11</v>
      </c>
      <c r="H87" s="233">
        <v>22.657343999999998</v>
      </c>
      <c r="I87" s="233">
        <f>+H87*0.005</f>
        <v>0.11328671999999999</v>
      </c>
      <c r="J87" s="233">
        <v>0</v>
      </c>
      <c r="K87" s="233">
        <f>+(17+11+15+22+28+16)/1000</f>
        <v>0.109</v>
      </c>
      <c r="L87" s="233">
        <f>+H87*(8.5/100)</f>
        <v>1.92587424</v>
      </c>
      <c r="M87" s="237">
        <v>0</v>
      </c>
      <c r="N87" s="233">
        <f>+(299+183+200+427+487+253)/1000</f>
        <v>1.849</v>
      </c>
      <c r="O87" s="233">
        <f>+I87+L87</f>
        <v>2.0391609599999998</v>
      </c>
      <c r="P87" s="233">
        <f>+((J87+K87)+(M87+N87))</f>
        <v>1.958</v>
      </c>
      <c r="Q87" s="233">
        <f>+O87-P87</f>
        <v>8.1160959999999838E-2</v>
      </c>
      <c r="R87" s="217" t="s">
        <v>305</v>
      </c>
      <c r="S87" s="216" t="s">
        <v>954</v>
      </c>
      <c r="T87" s="222" t="s">
        <v>282</v>
      </c>
      <c r="U87" s="222" t="s">
        <v>283</v>
      </c>
      <c r="V87" s="222"/>
    </row>
    <row r="88" spans="1:30" ht="86.45" customHeight="1" x14ac:dyDescent="0.75">
      <c r="A88" s="333"/>
      <c r="B88" s="353"/>
      <c r="C88" s="333"/>
      <c r="D88" s="354"/>
      <c r="E88" s="221"/>
      <c r="F88" s="216" t="s">
        <v>21</v>
      </c>
      <c r="G88" s="216">
        <v>11</v>
      </c>
      <c r="H88" s="233">
        <v>24.352176</v>
      </c>
      <c r="I88" s="233">
        <f>+H88*0.01</f>
        <v>0.24352176</v>
      </c>
      <c r="J88" s="233">
        <v>0</v>
      </c>
      <c r="K88" s="233">
        <f>((29+30+29+30+30+29+59)*1000)/1000000</f>
        <v>0.23599999999999999</v>
      </c>
      <c r="L88" s="233">
        <f>+H88*(10/100)</f>
        <v>2.4352176000000001</v>
      </c>
      <c r="M88" s="237">
        <v>0</v>
      </c>
      <c r="N88" s="233">
        <f>((287+295+287+297+298+288+585)*1000)/1000000</f>
        <v>2.3370000000000002</v>
      </c>
      <c r="O88" s="233">
        <f t="shared" si="5"/>
        <v>2.6787393600000002</v>
      </c>
      <c r="P88" s="233">
        <f t="shared" si="13"/>
        <v>2.5730000000000004</v>
      </c>
      <c r="Q88" s="233">
        <f t="shared" si="12"/>
        <v>0.10573935999999984</v>
      </c>
      <c r="R88" s="217" t="s">
        <v>48</v>
      </c>
      <c r="S88" s="216" t="s">
        <v>955</v>
      </c>
      <c r="T88" s="222" t="s">
        <v>282</v>
      </c>
      <c r="U88" s="222" t="s">
        <v>283</v>
      </c>
      <c r="V88" s="222"/>
    </row>
    <row r="89" spans="1:30" ht="86.45" customHeight="1" x14ac:dyDescent="0.75">
      <c r="A89" s="333">
        <v>31</v>
      </c>
      <c r="B89" s="324" t="s">
        <v>542</v>
      </c>
      <c r="C89" s="330" t="s">
        <v>511</v>
      </c>
      <c r="D89" s="330">
        <v>22929010128</v>
      </c>
      <c r="E89" s="330" t="s">
        <v>1298</v>
      </c>
      <c r="F89" s="216" t="s">
        <v>18</v>
      </c>
      <c r="G89" s="216">
        <v>4.4000000000000004</v>
      </c>
      <c r="H89" s="233">
        <v>30.775711000000001</v>
      </c>
      <c r="I89" s="233">
        <f t="shared" ref="I89:I94" si="19">+H89*0.005</f>
        <v>0.153878555</v>
      </c>
      <c r="J89" s="233">
        <v>0</v>
      </c>
      <c r="K89" s="233">
        <f>(134)*1000/1000000</f>
        <v>0.13400000000000001</v>
      </c>
      <c r="L89" s="233">
        <f t="shared" ref="L89:L94" si="20">+H89*(8.5/100)</f>
        <v>2.6159354350000004</v>
      </c>
      <c r="M89" s="237">
        <v>0</v>
      </c>
      <c r="N89" s="233">
        <f>(2284)*1000/1000000</f>
        <v>2.2839999999999998</v>
      </c>
      <c r="O89" s="233">
        <f t="shared" si="5"/>
        <v>2.7698139900000003</v>
      </c>
      <c r="P89" s="233">
        <f t="shared" si="13"/>
        <v>2.4179999999999997</v>
      </c>
      <c r="Q89" s="233">
        <f t="shared" si="12"/>
        <v>0.35181399000000058</v>
      </c>
      <c r="R89" s="217" t="s">
        <v>277</v>
      </c>
      <c r="S89" s="216" t="s">
        <v>956</v>
      </c>
      <c r="T89" s="222" t="s">
        <v>282</v>
      </c>
      <c r="U89" s="222" t="s">
        <v>283</v>
      </c>
      <c r="V89" s="222"/>
    </row>
    <row r="90" spans="1:30" ht="86.45" customHeight="1" x14ac:dyDescent="0.75">
      <c r="A90" s="333"/>
      <c r="B90" s="325"/>
      <c r="C90" s="331"/>
      <c r="D90" s="331"/>
      <c r="E90" s="332"/>
      <c r="F90" s="216" t="s">
        <v>20</v>
      </c>
      <c r="G90" s="216">
        <v>4.4000000000000004</v>
      </c>
      <c r="H90" s="233">
        <v>42.444321000000002</v>
      </c>
      <c r="I90" s="233">
        <f t="shared" si="19"/>
        <v>0.21222160500000001</v>
      </c>
      <c r="J90" s="233">
        <v>0</v>
      </c>
      <c r="K90" s="233">
        <v>0</v>
      </c>
      <c r="L90" s="233">
        <f t="shared" si="20"/>
        <v>3.6077672850000004</v>
      </c>
      <c r="M90" s="237">
        <v>0</v>
      </c>
      <c r="N90" s="233">
        <v>0</v>
      </c>
      <c r="O90" s="233">
        <f t="shared" si="5"/>
        <v>3.8199888900000003</v>
      </c>
      <c r="P90" s="233">
        <f t="shared" si="13"/>
        <v>0</v>
      </c>
      <c r="Q90" s="233">
        <f t="shared" si="12"/>
        <v>3.8199888900000003</v>
      </c>
      <c r="R90" s="217" t="s">
        <v>19</v>
      </c>
      <c r="S90" s="216" t="s">
        <v>449</v>
      </c>
      <c r="T90" s="222" t="s">
        <v>344</v>
      </c>
      <c r="U90" s="222"/>
      <c r="V90" s="222"/>
    </row>
    <row r="91" spans="1:30" ht="86.45" customHeight="1" x14ac:dyDescent="0.75">
      <c r="A91" s="247"/>
      <c r="B91" s="325"/>
      <c r="C91" s="331"/>
      <c r="D91" s="331"/>
      <c r="E91" s="327" t="s">
        <v>1353</v>
      </c>
      <c r="F91" s="254" t="s">
        <v>18</v>
      </c>
      <c r="G91" s="254">
        <v>4.4000000000000004</v>
      </c>
      <c r="H91" s="255">
        <v>26.506399999999999</v>
      </c>
      <c r="I91" s="255">
        <f t="shared" si="19"/>
        <v>0.13253200000000001</v>
      </c>
      <c r="J91" s="255">
        <v>0</v>
      </c>
      <c r="K91" s="255">
        <v>0.13400000000000001</v>
      </c>
      <c r="L91" s="255">
        <f t="shared" si="20"/>
        <v>2.253044</v>
      </c>
      <c r="M91" s="256">
        <v>0</v>
      </c>
      <c r="N91" s="255">
        <v>2.2839999999999998</v>
      </c>
      <c r="O91" s="255">
        <f t="shared" si="5"/>
        <v>2.3855759999999999</v>
      </c>
      <c r="P91" s="255">
        <f t="shared" si="13"/>
        <v>2.4179999999999997</v>
      </c>
      <c r="Q91" s="255">
        <f t="shared" si="12"/>
        <v>-3.2423999999999786E-2</v>
      </c>
      <c r="R91" s="258"/>
      <c r="S91" s="254"/>
      <c r="T91" s="222"/>
      <c r="U91" s="222"/>
      <c r="V91" s="222"/>
    </row>
    <row r="92" spans="1:30" ht="86.45" customHeight="1" x14ac:dyDescent="0.75">
      <c r="A92" s="247"/>
      <c r="B92" s="326"/>
      <c r="C92" s="332"/>
      <c r="D92" s="332"/>
      <c r="E92" s="329"/>
      <c r="F92" s="254" t="s">
        <v>20</v>
      </c>
      <c r="G92" s="254">
        <v>4.4000000000000004</v>
      </c>
      <c r="H92" s="255">
        <v>36.349705</v>
      </c>
      <c r="I92" s="255">
        <f t="shared" si="19"/>
        <v>0.18174852499999999</v>
      </c>
      <c r="J92" s="255">
        <v>0</v>
      </c>
      <c r="K92" s="255">
        <f>181/1000</f>
        <v>0.18099999999999999</v>
      </c>
      <c r="L92" s="255">
        <f t="shared" si="20"/>
        <v>3.0897249250000001</v>
      </c>
      <c r="M92" s="256">
        <v>0</v>
      </c>
      <c r="N92" s="255">
        <v>3.081</v>
      </c>
      <c r="O92" s="255">
        <f>+I92+L92</f>
        <v>3.2714734500000002</v>
      </c>
      <c r="P92" s="255">
        <f t="shared" si="13"/>
        <v>3.262</v>
      </c>
      <c r="Q92" s="255">
        <f t="shared" si="12"/>
        <v>9.4734500000002164E-3</v>
      </c>
      <c r="R92" s="258"/>
      <c r="S92" s="254"/>
      <c r="T92" s="222"/>
      <c r="U92" s="222"/>
      <c r="V92" s="222"/>
    </row>
    <row r="93" spans="1:30" ht="86.45" customHeight="1" x14ac:dyDescent="0.75">
      <c r="A93" s="324">
        <v>32</v>
      </c>
      <c r="B93" s="324" t="s">
        <v>544</v>
      </c>
      <c r="C93" s="330" t="s">
        <v>511</v>
      </c>
      <c r="D93" s="347">
        <v>49069002284</v>
      </c>
      <c r="E93" s="347" t="s">
        <v>1298</v>
      </c>
      <c r="F93" s="216" t="s">
        <v>18</v>
      </c>
      <c r="G93" s="216">
        <v>4</v>
      </c>
      <c r="H93" s="233">
        <v>33.150309</v>
      </c>
      <c r="I93" s="233">
        <f t="shared" si="19"/>
        <v>0.165751545</v>
      </c>
      <c r="J93" s="233">
        <v>0</v>
      </c>
      <c r="K93" s="237">
        <f>((67+81)/1000)</f>
        <v>0.14799999999999999</v>
      </c>
      <c r="L93" s="233">
        <f t="shared" si="20"/>
        <v>2.817776265</v>
      </c>
      <c r="M93" s="237">
        <v>0</v>
      </c>
      <c r="N93" s="233">
        <f>((1138+1378)*1000/1000000)</f>
        <v>2.516</v>
      </c>
      <c r="O93" s="233">
        <f>+I93+L93</f>
        <v>2.98352781</v>
      </c>
      <c r="P93" s="233">
        <f>+((J93+K93)+(M93+N93))</f>
        <v>2.6640000000000001</v>
      </c>
      <c r="Q93" s="233">
        <f>+O93-P93</f>
        <v>0.31952780999999986</v>
      </c>
      <c r="R93" s="217" t="s">
        <v>284</v>
      </c>
      <c r="S93" s="216" t="s">
        <v>957</v>
      </c>
      <c r="T93" s="222" t="s">
        <v>282</v>
      </c>
      <c r="U93" s="222" t="s">
        <v>283</v>
      </c>
      <c r="V93" s="222"/>
    </row>
    <row r="94" spans="1:30" ht="86.45" customHeight="1" x14ac:dyDescent="0.75">
      <c r="A94" s="325"/>
      <c r="B94" s="325"/>
      <c r="C94" s="331"/>
      <c r="D94" s="349"/>
      <c r="E94" s="349"/>
      <c r="F94" s="216" t="s">
        <v>20</v>
      </c>
      <c r="G94" s="216">
        <v>5</v>
      </c>
      <c r="H94" s="233">
        <v>40.370043000000003</v>
      </c>
      <c r="I94" s="233">
        <f t="shared" si="19"/>
        <v>0.20185021500000003</v>
      </c>
      <c r="J94" s="233">
        <v>0</v>
      </c>
      <c r="K94" s="233">
        <f>((91+45+45)*1000)/1000000</f>
        <v>0.18099999999999999</v>
      </c>
      <c r="L94" s="233">
        <f t="shared" si="20"/>
        <v>3.4314536550000003</v>
      </c>
      <c r="M94" s="237">
        <v>0</v>
      </c>
      <c r="N94" s="233">
        <f>((1539+757+753)*1000)/1000000</f>
        <v>3.0489999999999999</v>
      </c>
      <c r="O94" s="233">
        <f>+I94+L94</f>
        <v>3.6333038700000002</v>
      </c>
      <c r="P94" s="233">
        <f>+((J94+K94)+(M94+N94))</f>
        <v>3.23</v>
      </c>
      <c r="Q94" s="233">
        <f>+O94-P94</f>
        <v>0.40330387000000023</v>
      </c>
      <c r="R94" s="217" t="s">
        <v>19</v>
      </c>
      <c r="S94" s="216" t="s">
        <v>958</v>
      </c>
      <c r="T94" s="222" t="s">
        <v>282</v>
      </c>
      <c r="U94" s="222" t="s">
        <v>283</v>
      </c>
      <c r="V94" s="222"/>
    </row>
    <row r="95" spans="1:30" ht="86.45" customHeight="1" x14ac:dyDescent="0.75">
      <c r="A95" s="325"/>
      <c r="B95" s="325"/>
      <c r="C95" s="331"/>
      <c r="D95" s="349"/>
      <c r="E95" s="348"/>
      <c r="F95" s="216" t="s">
        <v>21</v>
      </c>
      <c r="G95" s="216">
        <v>5</v>
      </c>
      <c r="H95" s="233">
        <v>30.027016</v>
      </c>
      <c r="I95" s="233">
        <f>+H95*0.01</f>
        <v>0.30027016000000001</v>
      </c>
      <c r="J95" s="237">
        <v>0</v>
      </c>
      <c r="K95" s="233">
        <f>((124+30+31+33+77)/1000)</f>
        <v>0.29499999999999998</v>
      </c>
      <c r="L95" s="233">
        <f>+H95*(10/100)</f>
        <v>3.0027016</v>
      </c>
      <c r="M95" s="233">
        <f>(0.051263+0.425033+0.676642+0.624462+0.41919+0.416643+0.112613+0.109896+0.202482+0.053223)</f>
        <v>3.0914470000000001</v>
      </c>
      <c r="N95" s="233">
        <f>(383*1000)/1000000</f>
        <v>0.38300000000000001</v>
      </c>
      <c r="O95" s="233">
        <f t="shared" si="5"/>
        <v>3.3029717600000001</v>
      </c>
      <c r="P95" s="233">
        <f t="shared" si="13"/>
        <v>3.769447</v>
      </c>
      <c r="Q95" s="233">
        <f t="shared" si="12"/>
        <v>-0.46647523999999985</v>
      </c>
      <c r="R95" s="217" t="s">
        <v>284</v>
      </c>
      <c r="S95" s="216" t="s">
        <v>959</v>
      </c>
      <c r="T95" s="222" t="s">
        <v>282</v>
      </c>
      <c r="U95" s="222" t="s">
        <v>310</v>
      </c>
      <c r="V95" s="222"/>
    </row>
    <row r="96" spans="1:30" ht="86.45" customHeight="1" x14ac:dyDescent="0.75">
      <c r="A96" s="325"/>
      <c r="B96" s="325"/>
      <c r="C96" s="331"/>
      <c r="D96" s="349"/>
      <c r="E96" s="350" t="s">
        <v>1353</v>
      </c>
      <c r="F96" s="254" t="s">
        <v>18</v>
      </c>
      <c r="G96" s="254">
        <v>4</v>
      </c>
      <c r="H96" s="255">
        <v>29.352202999999999</v>
      </c>
      <c r="I96" s="255">
        <f>+H96*0.005</f>
        <v>0.14676101499999999</v>
      </c>
      <c r="J96" s="255">
        <v>0</v>
      </c>
      <c r="K96" s="255">
        <v>0.14799999999999999</v>
      </c>
      <c r="L96" s="255">
        <f>+H96*(8.5/100)</f>
        <v>2.494937255</v>
      </c>
      <c r="M96" s="256">
        <v>0</v>
      </c>
      <c r="N96" s="255">
        <v>2.516</v>
      </c>
      <c r="O96" s="255">
        <f t="shared" ref="O96:O97" si="21">+I96+L96</f>
        <v>2.64169827</v>
      </c>
      <c r="P96" s="255">
        <f t="shared" ref="P96:P97" si="22">+((J96+K96)+(M96+N96))</f>
        <v>2.6640000000000001</v>
      </c>
      <c r="Q96" s="255">
        <f t="shared" ref="Q96:Q97" si="23">+O96-P96</f>
        <v>-2.2301730000000131E-2</v>
      </c>
      <c r="R96" s="258"/>
      <c r="S96" s="254"/>
      <c r="T96" s="222"/>
      <c r="U96" s="222"/>
      <c r="V96" s="222"/>
    </row>
    <row r="97" spans="1:22" ht="86.45" customHeight="1" x14ac:dyDescent="0.75">
      <c r="A97" s="325"/>
      <c r="B97" s="325"/>
      <c r="C97" s="331"/>
      <c r="D97" s="349"/>
      <c r="E97" s="351"/>
      <c r="F97" s="254" t="s">
        <v>20</v>
      </c>
      <c r="G97" s="254">
        <v>5</v>
      </c>
      <c r="H97" s="255">
        <v>35.8596</v>
      </c>
      <c r="I97" s="255">
        <f>+H97*0.005</f>
        <v>0.17929800000000001</v>
      </c>
      <c r="J97" s="256">
        <v>0</v>
      </c>
      <c r="K97" s="255">
        <f>(91+45+45+45)/1000</f>
        <v>0.22600000000000001</v>
      </c>
      <c r="L97" s="255">
        <f>+H97*(8.5/100)</f>
        <v>3.0480660000000004</v>
      </c>
      <c r="M97" s="255">
        <v>0</v>
      </c>
      <c r="N97" s="255">
        <f>(1539+757+753)/1000</f>
        <v>3.0489999999999999</v>
      </c>
      <c r="O97" s="255">
        <f t="shared" si="21"/>
        <v>3.2273640000000006</v>
      </c>
      <c r="P97" s="255">
        <f t="shared" si="22"/>
        <v>3.2749999999999999</v>
      </c>
      <c r="Q97" s="255">
        <f t="shared" si="23"/>
        <v>-4.7635999999999346E-2</v>
      </c>
      <c r="R97" s="258"/>
      <c r="S97" s="254"/>
      <c r="T97" s="222"/>
      <c r="U97" s="222"/>
      <c r="V97" s="222"/>
    </row>
    <row r="98" spans="1:22" ht="86.45" customHeight="1" x14ac:dyDescent="0.75">
      <c r="A98" s="326"/>
      <c r="B98" s="326"/>
      <c r="C98" s="332"/>
      <c r="D98" s="348"/>
      <c r="E98" s="352"/>
      <c r="F98" s="254" t="s">
        <v>21</v>
      </c>
      <c r="G98" s="254">
        <v>5</v>
      </c>
      <c r="H98" s="255">
        <v>28.824000000000002</v>
      </c>
      <c r="I98" s="255">
        <v>0.288246</v>
      </c>
      <c r="J98" s="256">
        <v>0</v>
      </c>
      <c r="K98" s="255">
        <v>0.29499999999999998</v>
      </c>
      <c r="L98" s="255">
        <v>2.8824640000000001</v>
      </c>
      <c r="M98" s="255">
        <v>3.0914470000000001</v>
      </c>
      <c r="N98" s="255">
        <v>0.38300000000000001</v>
      </c>
      <c r="O98" s="255">
        <v>3.1707100000000001</v>
      </c>
      <c r="P98" s="255">
        <v>3.769447</v>
      </c>
      <c r="Q98" s="255">
        <v>-0.59873699999999996</v>
      </c>
      <c r="R98" s="258"/>
      <c r="S98" s="254"/>
      <c r="T98" s="222"/>
      <c r="U98" s="222"/>
      <c r="V98" s="222"/>
    </row>
    <row r="99" spans="1:22" ht="86.45" customHeight="1" x14ac:dyDescent="0.75">
      <c r="A99" s="330">
        <v>33</v>
      </c>
      <c r="B99" s="324" t="s">
        <v>545</v>
      </c>
      <c r="C99" s="330" t="s">
        <v>511</v>
      </c>
      <c r="D99" s="347">
        <v>170149002009</v>
      </c>
      <c r="E99" s="347" t="s">
        <v>1298</v>
      </c>
      <c r="F99" s="216" t="s">
        <v>20</v>
      </c>
      <c r="G99" s="216">
        <v>9.5</v>
      </c>
      <c r="H99" s="233">
        <v>42.923319999999997</v>
      </c>
      <c r="I99" s="233">
        <f>+H99*0.005</f>
        <v>0.21461659999999999</v>
      </c>
      <c r="J99" s="233">
        <v>0</v>
      </c>
      <c r="K99" s="233">
        <f>((103+35+33+35)*1000)/1000000</f>
        <v>0.20599999999999999</v>
      </c>
      <c r="L99" s="233">
        <f>+H99*(8.5/100)</f>
        <v>3.6484822000000001</v>
      </c>
      <c r="M99" s="237">
        <v>0</v>
      </c>
      <c r="N99" s="233">
        <f>((1760+587+569+579)*1000)/1000000</f>
        <v>3.4950000000000001</v>
      </c>
      <c r="O99" s="233">
        <f>+I99+L99</f>
        <v>3.8630987999999999</v>
      </c>
      <c r="P99" s="233">
        <f>+((J99+K99)+(M99+N99))</f>
        <v>3.7010000000000001</v>
      </c>
      <c r="Q99" s="233">
        <f>+O99-P99</f>
        <v>0.16209879999999988</v>
      </c>
      <c r="R99" s="217" t="s">
        <v>284</v>
      </c>
      <c r="S99" s="216" t="s">
        <v>960</v>
      </c>
      <c r="T99" s="222" t="s">
        <v>282</v>
      </c>
      <c r="U99" s="222" t="s">
        <v>283</v>
      </c>
      <c r="V99" s="222"/>
    </row>
    <row r="100" spans="1:22" ht="86.45" customHeight="1" x14ac:dyDescent="0.75">
      <c r="A100" s="331"/>
      <c r="B100" s="325"/>
      <c r="C100" s="331"/>
      <c r="D100" s="349"/>
      <c r="E100" s="348"/>
      <c r="F100" s="216" t="s">
        <v>21</v>
      </c>
      <c r="G100" s="216">
        <v>10</v>
      </c>
      <c r="H100" s="233">
        <v>83.327102999999994</v>
      </c>
      <c r="I100" s="233">
        <f>+H100*0.01</f>
        <v>0.83327102999999991</v>
      </c>
      <c r="J100" s="233">
        <v>0</v>
      </c>
      <c r="K100" s="233">
        <f>((146+220+72+75+74+72+141)*1000)/1000000</f>
        <v>0.8</v>
      </c>
      <c r="L100" s="233">
        <f>+H100*(10/100)</f>
        <v>8.3327103000000005</v>
      </c>
      <c r="M100" s="237">
        <v>0</v>
      </c>
      <c r="N100" s="233">
        <f>((1460+2201+722+743+744+719+1408)*1000)/1000000</f>
        <v>7.9969999999999999</v>
      </c>
      <c r="O100" s="233">
        <f t="shared" si="5"/>
        <v>9.165981330000001</v>
      </c>
      <c r="P100" s="233">
        <f t="shared" ref="P100:P155" si="24">+((J100+K100)+(M100+N100))</f>
        <v>8.7970000000000006</v>
      </c>
      <c r="Q100" s="233">
        <f t="shared" si="12"/>
        <v>0.36898133000000044</v>
      </c>
      <c r="R100" s="217" t="s">
        <v>284</v>
      </c>
      <c r="S100" s="216" t="s">
        <v>961</v>
      </c>
      <c r="T100" s="222" t="s">
        <v>282</v>
      </c>
      <c r="U100" s="222" t="s">
        <v>283</v>
      </c>
      <c r="V100" s="222"/>
    </row>
    <row r="101" spans="1:22" ht="86.45" customHeight="1" x14ac:dyDescent="0.75">
      <c r="A101" s="332"/>
      <c r="B101" s="326"/>
      <c r="C101" s="332"/>
      <c r="D101" s="348"/>
      <c r="E101" s="260" t="s">
        <v>1340</v>
      </c>
      <c r="F101" s="360" t="s">
        <v>1370</v>
      </c>
      <c r="G101" s="361"/>
      <c r="H101" s="361"/>
      <c r="I101" s="361"/>
      <c r="J101" s="361"/>
      <c r="K101" s="361"/>
      <c r="L101" s="361"/>
      <c r="M101" s="361"/>
      <c r="N101" s="361"/>
      <c r="O101" s="361"/>
      <c r="P101" s="361"/>
      <c r="Q101" s="361"/>
      <c r="R101" s="361"/>
      <c r="S101" s="362"/>
      <c r="T101" s="222"/>
      <c r="U101" s="222"/>
      <c r="V101" s="222"/>
    </row>
    <row r="102" spans="1:22" ht="86.45" customHeight="1" x14ac:dyDescent="0.75">
      <c r="A102" s="333">
        <v>34</v>
      </c>
      <c r="B102" s="353" t="s">
        <v>546</v>
      </c>
      <c r="C102" s="333" t="s">
        <v>511</v>
      </c>
      <c r="D102" s="354">
        <v>20169009679</v>
      </c>
      <c r="E102" s="221"/>
      <c r="F102" s="216" t="s">
        <v>20</v>
      </c>
      <c r="G102" s="216">
        <v>13.44</v>
      </c>
      <c r="H102" s="233">
        <v>33.15352</v>
      </c>
      <c r="I102" s="233">
        <f>+H102*0.005</f>
        <v>0.16576760000000001</v>
      </c>
      <c r="J102" s="233">
        <v>0</v>
      </c>
      <c r="K102" s="233">
        <f>(94+51+22)*1000/1000000</f>
        <v>0.16700000000000001</v>
      </c>
      <c r="L102" s="233">
        <f>+H102*(8.5/100)</f>
        <v>2.8180492000000004</v>
      </c>
      <c r="M102" s="237">
        <v>0</v>
      </c>
      <c r="N102" s="233">
        <f>(1604+851+364)*1000/1000000</f>
        <v>2.819</v>
      </c>
      <c r="O102" s="233">
        <f>+I102+L102</f>
        <v>2.9838168000000005</v>
      </c>
      <c r="P102" s="233">
        <f>+((J102+K102)+(M102+N102))</f>
        <v>2.9859999999999998</v>
      </c>
      <c r="Q102" s="233">
        <f>+O102-P102</f>
        <v>-2.1831999999992746E-3</v>
      </c>
      <c r="R102" s="217" t="s">
        <v>284</v>
      </c>
      <c r="S102" s="216" t="s">
        <v>962</v>
      </c>
      <c r="T102" s="222" t="s">
        <v>282</v>
      </c>
      <c r="U102" s="222" t="s">
        <v>310</v>
      </c>
      <c r="V102" s="222"/>
    </row>
    <row r="103" spans="1:22" ht="86.45" customHeight="1" x14ac:dyDescent="0.75">
      <c r="A103" s="333"/>
      <c r="B103" s="353"/>
      <c r="C103" s="333"/>
      <c r="D103" s="354"/>
      <c r="E103" s="221"/>
      <c r="F103" s="216" t="s">
        <v>21</v>
      </c>
      <c r="G103" s="216">
        <v>17</v>
      </c>
      <c r="H103" s="233">
        <v>85.799610999999999</v>
      </c>
      <c r="I103" s="233">
        <f>+H103*0.01</f>
        <v>0.85799610999999998</v>
      </c>
      <c r="J103" s="233">
        <v>0</v>
      </c>
      <c r="K103" s="233">
        <f>((108+173+22+99+96+122+126)*1000)/1000000</f>
        <v>0.746</v>
      </c>
      <c r="L103" s="233">
        <f>+H103*(10/100)</f>
        <v>8.5799611000000002</v>
      </c>
      <c r="M103" s="237">
        <v>0</v>
      </c>
      <c r="N103" s="233">
        <f>((1078+1585+364+993+960+1223+1261)*1000)/1000000</f>
        <v>7.4640000000000004</v>
      </c>
      <c r="O103" s="233">
        <f t="shared" si="5"/>
        <v>9.4379572100000004</v>
      </c>
      <c r="P103" s="233">
        <f t="shared" si="24"/>
        <v>8.2100000000000009</v>
      </c>
      <c r="Q103" s="233">
        <f t="shared" si="12"/>
        <v>1.2279572099999996</v>
      </c>
      <c r="R103" s="217" t="s">
        <v>284</v>
      </c>
      <c r="S103" s="216" t="s">
        <v>963</v>
      </c>
      <c r="T103" s="222" t="s">
        <v>282</v>
      </c>
      <c r="U103" s="222" t="s">
        <v>283</v>
      </c>
      <c r="V103" s="222"/>
    </row>
    <row r="104" spans="1:22" ht="86.45" customHeight="1" x14ac:dyDescent="0.75">
      <c r="A104" s="216">
        <v>35</v>
      </c>
      <c r="B104" s="220" t="s">
        <v>1274</v>
      </c>
      <c r="C104" s="216" t="s">
        <v>511</v>
      </c>
      <c r="D104" s="221">
        <v>22929022910</v>
      </c>
      <c r="E104" s="221"/>
      <c r="F104" s="216" t="s">
        <v>20</v>
      </c>
      <c r="G104" s="216">
        <v>2</v>
      </c>
      <c r="H104" s="233">
        <v>4.1786399999999997</v>
      </c>
      <c r="I104" s="233">
        <f t="shared" ref="I104:I123" si="25">+H104*0.005</f>
        <v>2.0893199999999997E-2</v>
      </c>
      <c r="J104" s="233">
        <v>0</v>
      </c>
      <c r="K104" s="233">
        <v>0</v>
      </c>
      <c r="L104" s="233">
        <f t="shared" ref="L104:L124" si="26">+H104*(8.5/100)</f>
        <v>0.35518440000000001</v>
      </c>
      <c r="M104" s="237">
        <v>0</v>
      </c>
      <c r="N104" s="233">
        <v>0</v>
      </c>
      <c r="O104" s="233">
        <f t="shared" si="5"/>
        <v>0.37607760000000001</v>
      </c>
      <c r="P104" s="233">
        <f t="shared" si="24"/>
        <v>0</v>
      </c>
      <c r="Q104" s="233">
        <f t="shared" si="12"/>
        <v>0.37607760000000001</v>
      </c>
      <c r="R104" s="217" t="s">
        <v>19</v>
      </c>
      <c r="S104" s="216" t="s">
        <v>449</v>
      </c>
      <c r="T104" s="222" t="s">
        <v>344</v>
      </c>
      <c r="U104" s="222"/>
      <c r="V104" s="222"/>
    </row>
    <row r="105" spans="1:22" ht="86.45" customHeight="1" x14ac:dyDescent="0.75">
      <c r="A105" s="216">
        <v>36</v>
      </c>
      <c r="B105" s="220" t="s">
        <v>1275</v>
      </c>
      <c r="C105" s="216" t="s">
        <v>536</v>
      </c>
      <c r="D105" s="221">
        <v>900000068918</v>
      </c>
      <c r="E105" s="221"/>
      <c r="F105" s="216" t="s">
        <v>20</v>
      </c>
      <c r="G105" s="216">
        <v>3.39</v>
      </c>
      <c r="H105" s="233">
        <v>3.77</v>
      </c>
      <c r="I105" s="233">
        <f t="shared" si="25"/>
        <v>1.8850000000000002E-2</v>
      </c>
      <c r="J105" s="233">
        <v>0</v>
      </c>
      <c r="K105" s="233">
        <v>0</v>
      </c>
      <c r="L105" s="233">
        <f t="shared" si="26"/>
        <v>0.32045000000000001</v>
      </c>
      <c r="M105" s="237">
        <v>0</v>
      </c>
      <c r="N105" s="233">
        <v>0</v>
      </c>
      <c r="O105" s="233">
        <f t="shared" si="5"/>
        <v>0.33929999999999999</v>
      </c>
      <c r="P105" s="233">
        <f t="shared" si="24"/>
        <v>0</v>
      </c>
      <c r="Q105" s="233">
        <f t="shared" si="12"/>
        <v>0.33929999999999999</v>
      </c>
      <c r="R105" s="217" t="s">
        <v>46</v>
      </c>
      <c r="S105" s="216" t="s">
        <v>445</v>
      </c>
      <c r="T105" s="222" t="s">
        <v>344</v>
      </c>
      <c r="U105" s="222"/>
      <c r="V105" s="222"/>
    </row>
    <row r="106" spans="1:22" ht="86.45" customHeight="1" x14ac:dyDescent="0.75">
      <c r="A106" s="330">
        <v>37</v>
      </c>
      <c r="B106" s="324" t="s">
        <v>1371</v>
      </c>
      <c r="C106" s="330" t="s">
        <v>511</v>
      </c>
      <c r="D106" s="347">
        <v>137589002241</v>
      </c>
      <c r="E106" s="347" t="s">
        <v>1298</v>
      </c>
      <c r="F106" s="216" t="s">
        <v>18</v>
      </c>
      <c r="G106" s="216">
        <v>1</v>
      </c>
      <c r="H106" s="233">
        <v>3.4823870000000001</v>
      </c>
      <c r="I106" s="233">
        <f t="shared" si="25"/>
        <v>1.7411935E-2</v>
      </c>
      <c r="J106" s="233">
        <v>0</v>
      </c>
      <c r="K106" s="233">
        <v>1.6E-2</v>
      </c>
      <c r="L106" s="233">
        <f t="shared" si="26"/>
        <v>0.29600289500000004</v>
      </c>
      <c r="M106" s="237">
        <v>0</v>
      </c>
      <c r="N106" s="233">
        <v>0.25600000000000001</v>
      </c>
      <c r="O106" s="233">
        <f t="shared" ref="O106:O170" si="27">+I106+L106</f>
        <v>0.31341483000000003</v>
      </c>
      <c r="P106" s="233">
        <f t="shared" si="24"/>
        <v>0.27200000000000002</v>
      </c>
      <c r="Q106" s="233">
        <f t="shared" si="12"/>
        <v>4.1414830000000014E-2</v>
      </c>
      <c r="R106" s="217" t="s">
        <v>284</v>
      </c>
      <c r="S106" s="216" t="s">
        <v>936</v>
      </c>
      <c r="T106" s="222" t="s">
        <v>282</v>
      </c>
      <c r="U106" s="222" t="s">
        <v>283</v>
      </c>
      <c r="V106" s="222"/>
    </row>
    <row r="107" spans="1:22" ht="86.45" customHeight="1" x14ac:dyDescent="0.75">
      <c r="A107" s="331"/>
      <c r="B107" s="325"/>
      <c r="C107" s="331"/>
      <c r="D107" s="349"/>
      <c r="E107" s="348"/>
      <c r="F107" s="216" t="s">
        <v>20</v>
      </c>
      <c r="G107" s="216">
        <v>2</v>
      </c>
      <c r="H107" s="233">
        <v>10.940999</v>
      </c>
      <c r="I107" s="233">
        <f t="shared" si="25"/>
        <v>5.4704994999999999E-2</v>
      </c>
      <c r="J107" s="233">
        <v>0</v>
      </c>
      <c r="K107" s="233">
        <f>(6+7+42)*1000/1000000</f>
        <v>5.5E-2</v>
      </c>
      <c r="L107" s="233">
        <f t="shared" si="26"/>
        <v>0.92998491500000002</v>
      </c>
      <c r="M107" s="237">
        <v>0</v>
      </c>
      <c r="N107" s="233">
        <f>(91+119+721)*1000/1000000</f>
        <v>0.93100000000000005</v>
      </c>
      <c r="O107" s="233">
        <f t="shared" si="27"/>
        <v>0.98468991000000006</v>
      </c>
      <c r="P107" s="233">
        <f>+((J107+K107)+(M107+N107))</f>
        <v>0.9860000000000001</v>
      </c>
      <c r="Q107" s="233">
        <f>+O107-P107</f>
        <v>-1.3100900000000415E-3</v>
      </c>
      <c r="R107" s="217" t="s">
        <v>284</v>
      </c>
      <c r="S107" s="216" t="s">
        <v>964</v>
      </c>
      <c r="T107" s="222" t="s">
        <v>282</v>
      </c>
      <c r="U107" s="222" t="s">
        <v>310</v>
      </c>
      <c r="V107" s="222"/>
    </row>
    <row r="108" spans="1:22" ht="86.45" customHeight="1" x14ac:dyDescent="0.75">
      <c r="A108" s="331"/>
      <c r="B108" s="325"/>
      <c r="C108" s="331"/>
      <c r="D108" s="349"/>
      <c r="E108" s="350" t="s">
        <v>1360</v>
      </c>
      <c r="F108" s="254" t="s">
        <v>18</v>
      </c>
      <c r="G108" s="254">
        <v>1</v>
      </c>
      <c r="H108" s="255">
        <v>3.012</v>
      </c>
      <c r="I108" s="255">
        <v>1.5100000000000001E-2</v>
      </c>
      <c r="J108" s="255">
        <v>0</v>
      </c>
      <c r="K108" s="255">
        <v>1.6E-2</v>
      </c>
      <c r="L108" s="255">
        <f t="shared" si="26"/>
        <v>0.25602000000000003</v>
      </c>
      <c r="M108" s="256">
        <v>0</v>
      </c>
      <c r="N108" s="255">
        <v>0.25600000000000001</v>
      </c>
      <c r="O108" s="255">
        <f t="shared" si="27"/>
        <v>0.27112000000000003</v>
      </c>
      <c r="P108" s="255">
        <f t="shared" ref="P108:P109" si="28">+((J108+K108)+(M108+N108))</f>
        <v>0.27200000000000002</v>
      </c>
      <c r="Q108" s="255">
        <v>-1E-3</v>
      </c>
      <c r="R108" s="258"/>
      <c r="S108" s="254"/>
      <c r="T108" s="222"/>
      <c r="U108" s="222"/>
      <c r="V108" s="222"/>
    </row>
    <row r="109" spans="1:22" ht="86.45" customHeight="1" x14ac:dyDescent="0.75">
      <c r="A109" s="331"/>
      <c r="B109" s="325"/>
      <c r="C109" s="331"/>
      <c r="D109" s="349"/>
      <c r="E109" s="351"/>
      <c r="F109" s="254" t="s">
        <v>20</v>
      </c>
      <c r="G109" s="254">
        <v>1</v>
      </c>
      <c r="H109" s="255">
        <v>9.391</v>
      </c>
      <c r="I109" s="255">
        <v>4.7E-2</v>
      </c>
      <c r="J109" s="255">
        <v>0</v>
      </c>
      <c r="K109" s="255">
        <v>5.5E-2</v>
      </c>
      <c r="L109" s="255">
        <v>0.79800000000000004</v>
      </c>
      <c r="M109" s="256">
        <v>0</v>
      </c>
      <c r="N109" s="255">
        <v>0.93100000000000005</v>
      </c>
      <c r="O109" s="255">
        <f t="shared" si="27"/>
        <v>0.84500000000000008</v>
      </c>
      <c r="P109" s="255">
        <f t="shared" si="28"/>
        <v>0.9860000000000001</v>
      </c>
      <c r="Q109" s="255">
        <v>-0.14099999999999999</v>
      </c>
      <c r="R109" s="258"/>
      <c r="S109" s="254"/>
      <c r="T109" s="222"/>
      <c r="U109" s="222"/>
      <c r="V109" s="222"/>
    </row>
    <row r="110" spans="1:22" ht="86.45" customHeight="1" x14ac:dyDescent="0.75">
      <c r="A110" s="216">
        <v>38</v>
      </c>
      <c r="B110" s="220" t="s">
        <v>550</v>
      </c>
      <c r="C110" s="216" t="s">
        <v>511</v>
      </c>
      <c r="D110" s="221">
        <v>331519004484</v>
      </c>
      <c r="E110" s="221"/>
      <c r="F110" s="216" t="s">
        <v>20</v>
      </c>
      <c r="G110" s="216">
        <v>2.25</v>
      </c>
      <c r="H110" s="233">
        <v>11.019608</v>
      </c>
      <c r="I110" s="233">
        <f t="shared" si="25"/>
        <v>5.5098040000000001E-2</v>
      </c>
      <c r="J110" s="233">
        <v>0</v>
      </c>
      <c r="K110" s="233">
        <f>(((51)*1000)/1000000)</f>
        <v>5.0999999999999997E-2</v>
      </c>
      <c r="L110" s="233">
        <f t="shared" si="26"/>
        <v>0.93666668000000008</v>
      </c>
      <c r="M110" s="237">
        <v>0</v>
      </c>
      <c r="N110" s="233">
        <f>(((836)*1000)/1000000)</f>
        <v>0.83599999999999997</v>
      </c>
      <c r="O110" s="233">
        <f t="shared" si="27"/>
        <v>0.99176472000000004</v>
      </c>
      <c r="P110" s="233">
        <f t="shared" si="24"/>
        <v>0.88700000000000001</v>
      </c>
      <c r="Q110" s="233">
        <f t="shared" si="12"/>
        <v>0.10476472000000003</v>
      </c>
      <c r="R110" s="217" t="s">
        <v>284</v>
      </c>
      <c r="S110" s="216" t="s">
        <v>965</v>
      </c>
      <c r="T110" s="222" t="s">
        <v>282</v>
      </c>
      <c r="U110" s="222" t="s">
        <v>283</v>
      </c>
      <c r="V110" s="222"/>
    </row>
    <row r="111" spans="1:22" ht="86.45" customHeight="1" x14ac:dyDescent="0.75">
      <c r="A111" s="333">
        <v>39</v>
      </c>
      <c r="B111" s="353" t="s">
        <v>551</v>
      </c>
      <c r="C111" s="333" t="s">
        <v>511</v>
      </c>
      <c r="D111" s="354">
        <v>173619032920</v>
      </c>
      <c r="E111" s="221"/>
      <c r="F111" s="216" t="s">
        <v>18</v>
      </c>
      <c r="G111" s="216">
        <v>1</v>
      </c>
      <c r="H111" s="233">
        <v>7.9465490000000001</v>
      </c>
      <c r="I111" s="233">
        <f>+H111*0.005</f>
        <v>3.9732745E-2</v>
      </c>
      <c r="J111" s="233">
        <v>0</v>
      </c>
      <c r="K111" s="233">
        <v>0</v>
      </c>
      <c r="L111" s="233">
        <f>+H111*(8.5/100)</f>
        <v>0.67545666500000001</v>
      </c>
      <c r="M111" s="237">
        <v>0</v>
      </c>
      <c r="N111" s="233">
        <v>0</v>
      </c>
      <c r="O111" s="233">
        <f>+I111+L111</f>
        <v>0.71518941000000003</v>
      </c>
      <c r="P111" s="233">
        <f>+((J111+K111)+(M111+N111))</f>
        <v>0</v>
      </c>
      <c r="Q111" s="233">
        <f>+O111-P111</f>
        <v>0.71518941000000003</v>
      </c>
      <c r="R111" s="217" t="s">
        <v>19</v>
      </c>
      <c r="S111" s="216" t="s">
        <v>34</v>
      </c>
      <c r="T111" s="222" t="s">
        <v>344</v>
      </c>
      <c r="U111" s="222"/>
      <c r="V111" s="222"/>
    </row>
    <row r="112" spans="1:22" ht="86.45" customHeight="1" x14ac:dyDescent="0.75">
      <c r="A112" s="333"/>
      <c r="B112" s="353"/>
      <c r="C112" s="333"/>
      <c r="D112" s="354"/>
      <c r="E112" s="221"/>
      <c r="F112" s="216" t="s">
        <v>20</v>
      </c>
      <c r="G112" s="216">
        <v>1</v>
      </c>
      <c r="H112" s="233">
        <v>8.4950270000000003</v>
      </c>
      <c r="I112" s="233">
        <f t="shared" si="25"/>
        <v>4.2475135000000004E-2</v>
      </c>
      <c r="J112" s="233">
        <v>0</v>
      </c>
      <c r="K112" s="233">
        <v>0</v>
      </c>
      <c r="L112" s="233">
        <f t="shared" si="26"/>
        <v>0.72207729500000006</v>
      </c>
      <c r="M112" s="237">
        <v>0</v>
      </c>
      <c r="N112" s="233">
        <v>0</v>
      </c>
      <c r="O112" s="233">
        <f t="shared" si="27"/>
        <v>0.76455243000000006</v>
      </c>
      <c r="P112" s="233">
        <f t="shared" si="24"/>
        <v>0</v>
      </c>
      <c r="Q112" s="233">
        <f t="shared" si="12"/>
        <v>0.76455243000000006</v>
      </c>
      <c r="R112" s="217" t="s">
        <v>19</v>
      </c>
      <c r="S112" s="216" t="s">
        <v>447</v>
      </c>
      <c r="T112" s="222" t="s">
        <v>344</v>
      </c>
      <c r="U112" s="222"/>
      <c r="V112" s="222"/>
    </row>
    <row r="113" spans="1:30" ht="86.45" customHeight="1" x14ac:dyDescent="0.75">
      <c r="A113" s="333">
        <v>40</v>
      </c>
      <c r="B113" s="353" t="s">
        <v>552</v>
      </c>
      <c r="C113" s="333" t="s">
        <v>511</v>
      </c>
      <c r="D113" s="354">
        <v>173279005475</v>
      </c>
      <c r="E113" s="221"/>
      <c r="F113" s="216" t="s">
        <v>18</v>
      </c>
      <c r="G113" s="216">
        <v>1</v>
      </c>
      <c r="H113" s="233">
        <v>1.1424650000000001</v>
      </c>
      <c r="I113" s="233">
        <f>+H113*0.005</f>
        <v>5.7123250000000007E-3</v>
      </c>
      <c r="J113" s="233">
        <v>0</v>
      </c>
      <c r="K113" s="233">
        <v>0</v>
      </c>
      <c r="L113" s="233">
        <f>+H113*(8.5/100)</f>
        <v>9.7109525000000016E-2</v>
      </c>
      <c r="M113" s="237">
        <v>0</v>
      </c>
      <c r="N113" s="233">
        <v>0</v>
      </c>
      <c r="O113" s="233">
        <f>+I113+L113</f>
        <v>0.10282185000000002</v>
      </c>
      <c r="P113" s="233">
        <f>+((J113+K113)+(M113+N113))</f>
        <v>0</v>
      </c>
      <c r="Q113" s="233">
        <f>+O113-P113</f>
        <v>0.10282185000000002</v>
      </c>
      <c r="R113" s="217" t="s">
        <v>19</v>
      </c>
      <c r="S113" s="216" t="s">
        <v>347</v>
      </c>
      <c r="T113" s="222" t="s">
        <v>344</v>
      </c>
      <c r="U113" s="222"/>
      <c r="V113" s="222"/>
    </row>
    <row r="114" spans="1:30" ht="86.45" customHeight="1" x14ac:dyDescent="0.75">
      <c r="A114" s="333"/>
      <c r="B114" s="353"/>
      <c r="C114" s="333"/>
      <c r="D114" s="354"/>
      <c r="E114" s="221"/>
      <c r="F114" s="216" t="s">
        <v>20</v>
      </c>
      <c r="G114" s="216">
        <v>1.5</v>
      </c>
      <c r="H114" s="233">
        <v>13.053893</v>
      </c>
      <c r="I114" s="233">
        <f t="shared" si="25"/>
        <v>6.5269464999999999E-2</v>
      </c>
      <c r="J114" s="233">
        <v>0</v>
      </c>
      <c r="K114" s="233">
        <f>(((12+41+6)*1000)/1000000)</f>
        <v>5.8999999999999997E-2</v>
      </c>
      <c r="L114" s="233">
        <f t="shared" si="26"/>
        <v>1.1095809050000001</v>
      </c>
      <c r="M114" s="237">
        <v>0</v>
      </c>
      <c r="N114" s="233">
        <f>(((220+691+88)*1000)/1000000)</f>
        <v>0.999</v>
      </c>
      <c r="O114" s="233">
        <f t="shared" si="27"/>
        <v>1.1748503700000001</v>
      </c>
      <c r="P114" s="233">
        <f t="shared" si="24"/>
        <v>1.0580000000000001</v>
      </c>
      <c r="Q114" s="233">
        <f t="shared" si="12"/>
        <v>0.11685037000000009</v>
      </c>
      <c r="R114" s="217" t="s">
        <v>292</v>
      </c>
      <c r="S114" s="216" t="s">
        <v>966</v>
      </c>
      <c r="T114" s="222" t="s">
        <v>282</v>
      </c>
      <c r="U114" s="222" t="s">
        <v>283</v>
      </c>
      <c r="V114" s="222"/>
    </row>
    <row r="115" spans="1:30" ht="86.45" customHeight="1" x14ac:dyDescent="0.75">
      <c r="A115" s="216">
        <v>41</v>
      </c>
      <c r="B115" s="220" t="s">
        <v>1276</v>
      </c>
      <c r="C115" s="216" t="s">
        <v>511</v>
      </c>
      <c r="D115" s="221">
        <v>31129021640</v>
      </c>
      <c r="E115" s="221"/>
      <c r="F115" s="216" t="s">
        <v>20</v>
      </c>
      <c r="G115" s="216">
        <v>1</v>
      </c>
      <c r="H115" s="233">
        <v>5.1876600000000002</v>
      </c>
      <c r="I115" s="233">
        <f t="shared" si="25"/>
        <v>2.5938300000000001E-2</v>
      </c>
      <c r="J115" s="233">
        <v>0</v>
      </c>
      <c r="K115" s="233">
        <v>0</v>
      </c>
      <c r="L115" s="233">
        <f t="shared" si="26"/>
        <v>0.44095110000000004</v>
      </c>
      <c r="M115" s="237">
        <v>0</v>
      </c>
      <c r="N115" s="233">
        <v>0</v>
      </c>
      <c r="O115" s="233">
        <f t="shared" si="27"/>
        <v>0.46688940000000007</v>
      </c>
      <c r="P115" s="233">
        <f t="shared" si="24"/>
        <v>0</v>
      </c>
      <c r="Q115" s="233">
        <f t="shared" si="12"/>
        <v>0.46688940000000007</v>
      </c>
      <c r="R115" s="217" t="s">
        <v>19</v>
      </c>
      <c r="S115" s="216" t="s">
        <v>446</v>
      </c>
      <c r="T115" s="222" t="s">
        <v>344</v>
      </c>
      <c r="U115" s="222"/>
      <c r="V115" s="222"/>
    </row>
    <row r="116" spans="1:30" ht="86.45" customHeight="1" x14ac:dyDescent="0.75">
      <c r="A116" s="216">
        <v>42</v>
      </c>
      <c r="B116" s="220" t="s">
        <v>554</v>
      </c>
      <c r="C116" s="216" t="s">
        <v>511</v>
      </c>
      <c r="D116" s="221">
        <v>173279039030</v>
      </c>
      <c r="E116" s="221"/>
      <c r="F116" s="216" t="s">
        <v>20</v>
      </c>
      <c r="G116" s="216">
        <v>1</v>
      </c>
      <c r="H116" s="233">
        <v>7.3747499999999997</v>
      </c>
      <c r="I116" s="233">
        <f t="shared" si="25"/>
        <v>3.6873749999999997E-2</v>
      </c>
      <c r="J116" s="233">
        <v>0</v>
      </c>
      <c r="K116" s="233">
        <f>(((12+16+5)*1000)/1000000)</f>
        <v>3.3000000000000002E-2</v>
      </c>
      <c r="L116" s="233">
        <f t="shared" si="26"/>
        <v>0.62685374999999999</v>
      </c>
      <c r="M116" s="237">
        <v>0</v>
      </c>
      <c r="N116" s="233">
        <f>(((220+267+59)*1000)/1000000)</f>
        <v>0.54600000000000004</v>
      </c>
      <c r="O116" s="233">
        <f t="shared" si="27"/>
        <v>0.66372750000000003</v>
      </c>
      <c r="P116" s="233">
        <f t="shared" si="24"/>
        <v>0.57900000000000007</v>
      </c>
      <c r="Q116" s="233">
        <f t="shared" si="12"/>
        <v>8.4727499999999956E-2</v>
      </c>
      <c r="R116" s="217" t="s">
        <v>19</v>
      </c>
      <c r="S116" s="216" t="s">
        <v>966</v>
      </c>
      <c r="T116" s="222" t="s">
        <v>282</v>
      </c>
      <c r="U116" s="222" t="s">
        <v>283</v>
      </c>
      <c r="V116" s="222"/>
    </row>
    <row r="117" spans="1:30" s="244" customFormat="1" ht="86.45" customHeight="1" x14ac:dyDescent="0.75">
      <c r="A117" s="324">
        <v>43</v>
      </c>
      <c r="B117" s="324" t="s">
        <v>1372</v>
      </c>
      <c r="C117" s="330" t="s">
        <v>511</v>
      </c>
      <c r="D117" s="347">
        <v>36249007468</v>
      </c>
      <c r="E117" s="221" t="s">
        <v>1298</v>
      </c>
      <c r="F117" s="216" t="s">
        <v>20</v>
      </c>
      <c r="G117" s="216">
        <v>3.7</v>
      </c>
      <c r="H117" s="233">
        <v>12.064992</v>
      </c>
      <c r="I117" s="233">
        <f t="shared" si="25"/>
        <v>6.0324960000000004E-2</v>
      </c>
      <c r="J117" s="233">
        <v>0</v>
      </c>
      <c r="K117" s="233">
        <f>(41+12)*1000/1000000</f>
        <v>5.2999999999999999E-2</v>
      </c>
      <c r="L117" s="233">
        <f t="shared" si="26"/>
        <v>1.0255243200000002</v>
      </c>
      <c r="M117" s="237">
        <v>0</v>
      </c>
      <c r="N117" s="233">
        <f>(697+200)*1000/1000000</f>
        <v>0.89700000000000002</v>
      </c>
      <c r="O117" s="233">
        <f t="shared" si="27"/>
        <v>1.0858492800000001</v>
      </c>
      <c r="P117" s="233">
        <f t="shared" si="24"/>
        <v>0.95000000000000007</v>
      </c>
      <c r="Q117" s="233">
        <f t="shared" si="12"/>
        <v>0.13584928000000007</v>
      </c>
      <c r="R117" s="217" t="s">
        <v>284</v>
      </c>
      <c r="S117" s="216" t="s">
        <v>967</v>
      </c>
      <c r="T117" s="243" t="s">
        <v>282</v>
      </c>
      <c r="U117" s="243" t="s">
        <v>283</v>
      </c>
      <c r="V117" s="243"/>
    </row>
    <row r="118" spans="1:30" s="244" customFormat="1" ht="86.45" customHeight="1" x14ac:dyDescent="0.75">
      <c r="A118" s="326"/>
      <c r="B118" s="326"/>
      <c r="C118" s="332"/>
      <c r="D118" s="348"/>
      <c r="E118" s="260" t="s">
        <v>1373</v>
      </c>
      <c r="F118" s="254" t="s">
        <v>20</v>
      </c>
      <c r="G118" s="254">
        <v>3.7</v>
      </c>
      <c r="H118" s="255">
        <v>10.552</v>
      </c>
      <c r="I118" s="255">
        <v>5.2999999999999999E-2</v>
      </c>
      <c r="J118" s="255">
        <v>0</v>
      </c>
      <c r="K118" s="255">
        <v>5.2999999999999999E-2</v>
      </c>
      <c r="L118" s="255">
        <v>0.89700000000000002</v>
      </c>
      <c r="M118" s="256">
        <v>0</v>
      </c>
      <c r="N118" s="255">
        <v>0.89700000000000002</v>
      </c>
      <c r="O118" s="255">
        <f t="shared" si="27"/>
        <v>0.95000000000000007</v>
      </c>
      <c r="P118" s="255">
        <f t="shared" si="24"/>
        <v>0.95000000000000007</v>
      </c>
      <c r="Q118" s="255">
        <f t="shared" si="12"/>
        <v>0</v>
      </c>
      <c r="R118" s="258"/>
      <c r="S118" s="254"/>
      <c r="T118" s="243"/>
      <c r="U118" s="243"/>
      <c r="V118" s="243"/>
    </row>
    <row r="119" spans="1:30" ht="86.45" customHeight="1" x14ac:dyDescent="0.75">
      <c r="A119" s="333">
        <v>44</v>
      </c>
      <c r="B119" s="353" t="s">
        <v>556</v>
      </c>
      <c r="C119" s="333" t="s">
        <v>511</v>
      </c>
      <c r="D119" s="354">
        <v>184059021013</v>
      </c>
      <c r="E119" s="221"/>
      <c r="F119" s="216" t="s">
        <v>18</v>
      </c>
      <c r="G119" s="216">
        <v>1.5</v>
      </c>
      <c r="H119" s="233">
        <v>14.155275</v>
      </c>
      <c r="I119" s="233">
        <f>+H119*0.005</f>
        <v>7.0776375000000002E-2</v>
      </c>
      <c r="J119" s="233">
        <v>0</v>
      </c>
      <c r="K119" s="233">
        <f>(5+6+5+6+10+5+5+5+5+4+4)/1000</f>
        <v>0.06</v>
      </c>
      <c r="L119" s="233">
        <f>+H119*(8.5/100)</f>
        <v>1.2031983750000002</v>
      </c>
      <c r="M119" s="237">
        <v>0</v>
      </c>
      <c r="N119" s="233">
        <f>(79+91+95+89+171+92+83+92+79+73+76)/1000</f>
        <v>1.02</v>
      </c>
      <c r="O119" s="233">
        <f>+I119+L119</f>
        <v>1.2739747500000003</v>
      </c>
      <c r="P119" s="233">
        <f>+((J119+K119)+(M119+N119))</f>
        <v>1.08</v>
      </c>
      <c r="Q119" s="233">
        <f>+O119-P119</f>
        <v>0.1939747500000002</v>
      </c>
      <c r="R119" s="217" t="s">
        <v>284</v>
      </c>
      <c r="S119" s="216" t="s">
        <v>968</v>
      </c>
      <c r="T119" s="222" t="s">
        <v>282</v>
      </c>
      <c r="U119" s="222" t="s">
        <v>283</v>
      </c>
      <c r="V119" s="222"/>
    </row>
    <row r="120" spans="1:30" ht="86.45" customHeight="1" x14ac:dyDescent="0.75">
      <c r="A120" s="333"/>
      <c r="B120" s="353"/>
      <c r="C120" s="333"/>
      <c r="D120" s="354"/>
      <c r="E120" s="221"/>
      <c r="F120" s="216" t="s">
        <v>20</v>
      </c>
      <c r="G120" s="216">
        <v>1.5</v>
      </c>
      <c r="H120" s="233">
        <v>13.791504</v>
      </c>
      <c r="I120" s="233">
        <f t="shared" si="25"/>
        <v>6.8957519999999994E-2</v>
      </c>
      <c r="J120" s="233">
        <v>0</v>
      </c>
      <c r="K120" s="233">
        <f>(30+23+7)*1000/1000000</f>
        <v>0.06</v>
      </c>
      <c r="L120" s="233">
        <f t="shared" si="26"/>
        <v>1.17227784</v>
      </c>
      <c r="M120" s="237">
        <v>0</v>
      </c>
      <c r="N120" s="233">
        <f>(500+413+96)*1000/1000000</f>
        <v>1.0089999999999999</v>
      </c>
      <c r="O120" s="233">
        <f t="shared" si="27"/>
        <v>1.2412353600000001</v>
      </c>
      <c r="P120" s="233">
        <f t="shared" si="24"/>
        <v>1.069</v>
      </c>
      <c r="Q120" s="233">
        <f t="shared" si="12"/>
        <v>0.17223536000000017</v>
      </c>
      <c r="R120" s="217" t="s">
        <v>292</v>
      </c>
      <c r="S120" s="216" t="s">
        <v>969</v>
      </c>
      <c r="T120" s="222" t="s">
        <v>282</v>
      </c>
      <c r="U120" s="222" t="s">
        <v>283</v>
      </c>
      <c r="V120" s="222"/>
    </row>
    <row r="121" spans="1:30" ht="86.45" customHeight="1" x14ac:dyDescent="0.75">
      <c r="A121" s="216">
        <v>45</v>
      </c>
      <c r="B121" s="220" t="s">
        <v>772</v>
      </c>
      <c r="C121" s="216" t="s">
        <v>511</v>
      </c>
      <c r="D121" s="221">
        <v>190569021870</v>
      </c>
      <c r="E121" s="221"/>
      <c r="F121" s="216" t="s">
        <v>20</v>
      </c>
      <c r="G121" s="216">
        <v>4.99</v>
      </c>
      <c r="H121" s="233">
        <v>9.4853360000000002</v>
      </c>
      <c r="I121" s="233">
        <f t="shared" si="25"/>
        <v>4.7426679999999999E-2</v>
      </c>
      <c r="J121" s="233">
        <v>0</v>
      </c>
      <c r="K121" s="233">
        <f>(42)*1000/1000000</f>
        <v>4.2000000000000003E-2</v>
      </c>
      <c r="L121" s="233">
        <f t="shared" si="26"/>
        <v>0.80625356000000004</v>
      </c>
      <c r="M121" s="237">
        <f>(5334+15482)/1000000</f>
        <v>2.0816000000000001E-2</v>
      </c>
      <c r="N121" s="233">
        <f>(670)*1000/1000000</f>
        <v>0.67</v>
      </c>
      <c r="O121" s="233">
        <f t="shared" si="27"/>
        <v>0.85368024000000009</v>
      </c>
      <c r="P121" s="233">
        <f t="shared" si="24"/>
        <v>0.73281600000000013</v>
      </c>
      <c r="Q121" s="233">
        <f t="shared" si="12"/>
        <v>0.12086423999999996</v>
      </c>
      <c r="R121" s="217" t="s">
        <v>284</v>
      </c>
      <c r="S121" s="216" t="s">
        <v>970</v>
      </c>
      <c r="T121" s="222" t="s">
        <v>282</v>
      </c>
      <c r="U121" s="222" t="s">
        <v>283</v>
      </c>
      <c r="V121" s="222"/>
    </row>
    <row r="122" spans="1:30" ht="86.45" customHeight="1" x14ac:dyDescent="0.75">
      <c r="A122" s="216">
        <v>46</v>
      </c>
      <c r="B122" s="220" t="s">
        <v>773</v>
      </c>
      <c r="C122" s="216" t="s">
        <v>511</v>
      </c>
      <c r="D122" s="221">
        <v>190569006591</v>
      </c>
      <c r="E122" s="221"/>
      <c r="F122" s="216" t="s">
        <v>20</v>
      </c>
      <c r="G122" s="216">
        <v>4.97</v>
      </c>
      <c r="H122" s="233">
        <v>7.5157119999999997</v>
      </c>
      <c r="I122" s="233">
        <f t="shared" si="25"/>
        <v>3.7578559999999997E-2</v>
      </c>
      <c r="J122" s="233">
        <v>0</v>
      </c>
      <c r="K122" s="233">
        <f>(35)*1000/1000000</f>
        <v>3.5000000000000003E-2</v>
      </c>
      <c r="L122" s="233">
        <f t="shared" si="26"/>
        <v>0.63883551999999999</v>
      </c>
      <c r="M122" s="237">
        <f>(8451+22636)/1000000</f>
        <v>3.1087E-2</v>
      </c>
      <c r="N122" s="233">
        <f>(520)*1000/1000000</f>
        <v>0.52</v>
      </c>
      <c r="O122" s="233">
        <f t="shared" si="27"/>
        <v>0.67641408000000003</v>
      </c>
      <c r="P122" s="233">
        <f t="shared" si="24"/>
        <v>0.58608700000000002</v>
      </c>
      <c r="Q122" s="233">
        <f t="shared" si="12"/>
        <v>9.0327080000000004E-2</v>
      </c>
      <c r="R122" s="217" t="s">
        <v>284</v>
      </c>
      <c r="S122" s="216" t="s">
        <v>970</v>
      </c>
      <c r="T122" s="222" t="s">
        <v>282</v>
      </c>
      <c r="U122" s="222" t="s">
        <v>283</v>
      </c>
      <c r="V122" s="222"/>
    </row>
    <row r="123" spans="1:30" s="244" customFormat="1" ht="86.45" customHeight="1" x14ac:dyDescent="0.75">
      <c r="A123" s="330">
        <v>47</v>
      </c>
      <c r="B123" s="324" t="s">
        <v>779</v>
      </c>
      <c r="C123" s="330" t="s">
        <v>511</v>
      </c>
      <c r="D123" s="347">
        <v>176759054410</v>
      </c>
      <c r="E123" s="221" t="s">
        <v>1298</v>
      </c>
      <c r="F123" s="216" t="s">
        <v>20</v>
      </c>
      <c r="G123" s="216">
        <v>4.05</v>
      </c>
      <c r="H123" s="233">
        <v>11.99546</v>
      </c>
      <c r="I123" s="233">
        <f t="shared" si="25"/>
        <v>5.9977299999999997E-2</v>
      </c>
      <c r="J123" s="233">
        <v>0</v>
      </c>
      <c r="K123" s="233">
        <f>((54)*1000/1000000)</f>
        <v>5.3999999999999999E-2</v>
      </c>
      <c r="L123" s="233">
        <f t="shared" si="26"/>
        <v>1.0196141000000001</v>
      </c>
      <c r="M123" s="237">
        <v>0</v>
      </c>
      <c r="N123" s="233">
        <f>((918)*1000/1000000)</f>
        <v>0.91800000000000004</v>
      </c>
      <c r="O123" s="233">
        <f t="shared" si="27"/>
        <v>1.0795914</v>
      </c>
      <c r="P123" s="233">
        <f t="shared" si="24"/>
        <v>0.97200000000000009</v>
      </c>
      <c r="Q123" s="233">
        <f t="shared" si="12"/>
        <v>0.10759139999999989</v>
      </c>
      <c r="R123" s="217" t="s">
        <v>307</v>
      </c>
      <c r="S123" s="216" t="s">
        <v>939</v>
      </c>
      <c r="T123" s="243" t="s">
        <v>282</v>
      </c>
      <c r="U123" s="243" t="s">
        <v>283</v>
      </c>
      <c r="V123" s="243"/>
    </row>
    <row r="124" spans="1:30" s="244" customFormat="1" ht="86.45" customHeight="1" x14ac:dyDescent="0.75">
      <c r="A124" s="332"/>
      <c r="B124" s="326"/>
      <c r="C124" s="332"/>
      <c r="D124" s="348"/>
      <c r="E124" s="260" t="s">
        <v>1320</v>
      </c>
      <c r="F124" s="254" t="s">
        <v>20</v>
      </c>
      <c r="G124" s="254">
        <v>4.05</v>
      </c>
      <c r="H124" s="255">
        <v>10.81</v>
      </c>
      <c r="I124" s="255">
        <v>5.3999999999999999E-2</v>
      </c>
      <c r="J124" s="255">
        <v>0</v>
      </c>
      <c r="K124" s="255">
        <v>5.3999999999999999E-2</v>
      </c>
      <c r="L124" s="255">
        <f t="shared" si="26"/>
        <v>0.91885000000000006</v>
      </c>
      <c r="M124" s="256">
        <v>0</v>
      </c>
      <c r="N124" s="255">
        <v>0.91800000000000004</v>
      </c>
      <c r="O124" s="255">
        <f t="shared" si="27"/>
        <v>0.9728500000000001</v>
      </c>
      <c r="P124" s="255">
        <f t="shared" si="24"/>
        <v>0.97200000000000009</v>
      </c>
      <c r="Q124" s="255">
        <f t="shared" si="12"/>
        <v>8.5000000000001741E-4</v>
      </c>
      <c r="R124" s="258"/>
      <c r="S124" s="254"/>
      <c r="T124" s="243"/>
      <c r="U124" s="243"/>
      <c r="V124" s="243"/>
    </row>
    <row r="125" spans="1:30" ht="86.45" customHeight="1" x14ac:dyDescent="0.75">
      <c r="A125" s="330">
        <v>48</v>
      </c>
      <c r="B125" s="324" t="s">
        <v>1277</v>
      </c>
      <c r="C125" s="330" t="s">
        <v>511</v>
      </c>
      <c r="D125" s="347">
        <v>490019004195</v>
      </c>
      <c r="E125" s="347" t="s">
        <v>1298</v>
      </c>
      <c r="F125" s="216" t="s">
        <v>20</v>
      </c>
      <c r="G125" s="216">
        <v>7.8</v>
      </c>
      <c r="H125" s="233">
        <v>60.877564</v>
      </c>
      <c r="I125" s="233">
        <f>+H125*0.005</f>
        <v>0.30438782000000003</v>
      </c>
      <c r="J125" s="233">
        <v>0</v>
      </c>
      <c r="K125" s="233">
        <f>(274)*1000/1000000</f>
        <v>0.27400000000000002</v>
      </c>
      <c r="L125" s="233">
        <f>+H125*(8.5/100)</f>
        <v>5.1745929400000001</v>
      </c>
      <c r="M125" s="237">
        <v>0</v>
      </c>
      <c r="N125" s="233">
        <f>(4664)*1000/1000000</f>
        <v>4.6639999999999997</v>
      </c>
      <c r="O125" s="233">
        <f>+I125+L125</f>
        <v>5.4789807599999998</v>
      </c>
      <c r="P125" s="233">
        <f>+((J125+K125)+(M125+N125))</f>
        <v>4.9379999999999997</v>
      </c>
      <c r="Q125" s="233">
        <f>+O125-P125</f>
        <v>0.54098076000000006</v>
      </c>
      <c r="R125" s="217" t="s">
        <v>284</v>
      </c>
      <c r="S125" s="216" t="s">
        <v>971</v>
      </c>
      <c r="T125" s="222" t="s">
        <v>282</v>
      </c>
      <c r="U125" s="222" t="s">
        <v>283</v>
      </c>
      <c r="V125" s="222"/>
    </row>
    <row r="126" spans="1:30" ht="86.45" customHeight="1" x14ac:dyDescent="0.75">
      <c r="A126" s="331"/>
      <c r="B126" s="325"/>
      <c r="C126" s="331"/>
      <c r="D126" s="349"/>
      <c r="E126" s="349"/>
      <c r="F126" s="216" t="s">
        <v>21</v>
      </c>
      <c r="G126" s="216">
        <v>7.82</v>
      </c>
      <c r="H126" s="233">
        <v>39.169941000000001</v>
      </c>
      <c r="I126" s="233">
        <f>+H126*0.01</f>
        <v>0.39169941000000003</v>
      </c>
      <c r="J126" s="233">
        <v>0</v>
      </c>
      <c r="K126" s="233">
        <v>0</v>
      </c>
      <c r="L126" s="233">
        <f>+H126*(10/100)</f>
        <v>3.9169941000000001</v>
      </c>
      <c r="M126" s="237">
        <v>0</v>
      </c>
      <c r="N126" s="233">
        <v>0</v>
      </c>
      <c r="O126" s="233">
        <f t="shared" si="27"/>
        <v>4.3086935100000003</v>
      </c>
      <c r="P126" s="233">
        <f t="shared" si="24"/>
        <v>0</v>
      </c>
      <c r="Q126" s="233">
        <f t="shared" si="12"/>
        <v>4.3086935100000003</v>
      </c>
      <c r="R126" s="217" t="s">
        <v>284</v>
      </c>
      <c r="S126" s="216" t="s">
        <v>489</v>
      </c>
      <c r="T126" s="222" t="s">
        <v>344</v>
      </c>
      <c r="U126" s="222"/>
      <c r="V126" s="222"/>
    </row>
    <row r="127" spans="1:30" ht="86.45" customHeight="1" x14ac:dyDescent="0.75">
      <c r="A127" s="331"/>
      <c r="B127" s="325"/>
      <c r="C127" s="331"/>
      <c r="D127" s="349"/>
      <c r="E127" s="349"/>
      <c r="F127" s="216" t="s">
        <v>22</v>
      </c>
      <c r="G127" s="216">
        <v>7</v>
      </c>
      <c r="H127" s="233">
        <f>5380728/1000000</f>
        <v>5.3807280000000004</v>
      </c>
      <c r="I127" s="233">
        <f>+H127*0.02</f>
        <v>0.10761456000000001</v>
      </c>
      <c r="J127" s="233">
        <v>0</v>
      </c>
      <c r="K127" s="233">
        <v>0</v>
      </c>
      <c r="L127" s="233">
        <f>+H127*(10.5/100)</f>
        <v>0.56497644000000002</v>
      </c>
      <c r="M127" s="237">
        <v>0</v>
      </c>
      <c r="N127" s="233">
        <v>0</v>
      </c>
      <c r="O127" s="233">
        <f t="shared" si="27"/>
        <v>0.67259100000000005</v>
      </c>
      <c r="P127" s="233">
        <f t="shared" si="24"/>
        <v>0</v>
      </c>
      <c r="Q127" s="233">
        <f t="shared" si="12"/>
        <v>0.67259100000000005</v>
      </c>
      <c r="R127" s="216" t="s">
        <v>19</v>
      </c>
      <c r="S127" s="216" t="s">
        <v>54</v>
      </c>
      <c r="T127" s="222" t="s">
        <v>344</v>
      </c>
      <c r="U127" s="222"/>
      <c r="V127" s="222"/>
      <c r="W127" s="14"/>
      <c r="X127" s="14"/>
      <c r="Y127" s="14"/>
      <c r="Z127" s="14"/>
      <c r="AA127" s="14"/>
      <c r="AB127" s="14"/>
      <c r="AC127" s="14"/>
      <c r="AD127" s="14"/>
    </row>
    <row r="128" spans="1:30" ht="86.45" customHeight="1" x14ac:dyDescent="0.75">
      <c r="A128" s="331"/>
      <c r="B128" s="325"/>
      <c r="C128" s="331"/>
      <c r="D128" s="349"/>
      <c r="E128" s="351" t="s">
        <v>1425</v>
      </c>
      <c r="F128" s="254" t="s">
        <v>20</v>
      </c>
      <c r="G128" s="254">
        <v>8.6999999999999993</v>
      </c>
      <c r="H128" s="255">
        <v>53.885899999999999</v>
      </c>
      <c r="I128" s="255">
        <f>+H128*0.05</f>
        <v>2.6942950000000003</v>
      </c>
      <c r="J128" s="255">
        <v>0</v>
      </c>
      <c r="K128" s="255">
        <v>0.27400000000000002</v>
      </c>
      <c r="L128" s="255">
        <f>+H128*(8.5/100)</f>
        <v>4.5803015</v>
      </c>
      <c r="M128" s="256">
        <v>0</v>
      </c>
      <c r="N128" s="255">
        <v>4.6639999999999997</v>
      </c>
      <c r="O128" s="255">
        <v>4.8499999999999996</v>
      </c>
      <c r="P128" s="255">
        <f t="shared" si="24"/>
        <v>4.9379999999999997</v>
      </c>
      <c r="Q128" s="255">
        <f>+O128-P128</f>
        <v>-8.8000000000000078E-2</v>
      </c>
      <c r="R128" s="254"/>
      <c r="S128" s="254"/>
      <c r="T128" s="222"/>
      <c r="U128" s="222"/>
      <c r="V128" s="222"/>
      <c r="W128" s="14"/>
      <c r="X128" s="14"/>
      <c r="Y128" s="14"/>
      <c r="Z128" s="14"/>
      <c r="AA128" s="14"/>
      <c r="AB128" s="14"/>
      <c r="AC128" s="14"/>
      <c r="AD128" s="14"/>
    </row>
    <row r="129" spans="1:30" ht="86.45" customHeight="1" x14ac:dyDescent="0.75">
      <c r="A129" s="331"/>
      <c r="B129" s="325"/>
      <c r="C129" s="331"/>
      <c r="D129" s="349"/>
      <c r="E129" s="351"/>
      <c r="F129" s="254" t="s">
        <v>21</v>
      </c>
      <c r="G129" s="254">
        <v>8.6999999999999993</v>
      </c>
      <c r="H129" s="255">
        <v>33.045099999999998</v>
      </c>
      <c r="I129" s="255">
        <f>+H129*0.01</f>
        <v>0.33045099999999999</v>
      </c>
      <c r="J129" s="255">
        <v>0</v>
      </c>
      <c r="K129" s="255">
        <v>0.33</v>
      </c>
      <c r="L129" s="255">
        <f>+H129*(10/100)</f>
        <v>3.3045100000000001</v>
      </c>
      <c r="M129" s="256">
        <v>0</v>
      </c>
      <c r="N129" s="255">
        <v>3.3050000000000002</v>
      </c>
      <c r="O129" s="255">
        <f t="shared" si="27"/>
        <v>3.6349610000000001</v>
      </c>
      <c r="P129" s="255">
        <f t="shared" si="24"/>
        <v>3.6350000000000002</v>
      </c>
      <c r="Q129" s="255">
        <f t="shared" si="12"/>
        <v>-3.900000000012227E-5</v>
      </c>
      <c r="R129" s="254"/>
      <c r="S129" s="254"/>
      <c r="T129" s="222"/>
      <c r="U129" s="222"/>
      <c r="V129" s="222"/>
      <c r="W129" s="14"/>
      <c r="X129" s="14"/>
      <c r="Y129" s="14"/>
      <c r="Z129" s="14"/>
      <c r="AA129" s="14"/>
      <c r="AB129" s="14"/>
      <c r="AC129" s="14"/>
      <c r="AD129" s="14"/>
    </row>
    <row r="130" spans="1:30" ht="86.45" customHeight="1" x14ac:dyDescent="0.75">
      <c r="A130" s="332"/>
      <c r="B130" s="326"/>
      <c r="C130" s="332"/>
      <c r="D130" s="348"/>
      <c r="E130" s="352"/>
      <c r="F130" s="254" t="s">
        <v>22</v>
      </c>
      <c r="G130" s="254">
        <v>8.6999999999999993</v>
      </c>
      <c r="H130" s="255">
        <v>4.6829999999999998</v>
      </c>
      <c r="I130" s="255">
        <f t="shared" ref="I130" si="29">+H130*0.02</f>
        <v>9.3659999999999993E-2</v>
      </c>
      <c r="J130" s="255">
        <v>0</v>
      </c>
      <c r="K130" s="255">
        <v>9.4E-2</v>
      </c>
      <c r="L130" s="255">
        <f t="shared" ref="L130" si="30">+H130*(10.5/100)</f>
        <v>0.49171499999999996</v>
      </c>
      <c r="M130" s="256">
        <v>0</v>
      </c>
      <c r="N130" s="255">
        <v>0.49199999999999999</v>
      </c>
      <c r="O130" s="255">
        <f t="shared" si="27"/>
        <v>0.58537499999999998</v>
      </c>
      <c r="P130" s="255">
        <f t="shared" si="24"/>
        <v>0.58599999999999997</v>
      </c>
      <c r="Q130" s="255">
        <f t="shared" si="12"/>
        <v>-6.2499999999998668E-4</v>
      </c>
      <c r="R130" s="254"/>
      <c r="S130" s="254"/>
      <c r="T130" s="222"/>
      <c r="U130" s="222"/>
      <c r="V130" s="222"/>
      <c r="W130" s="14"/>
      <c r="X130" s="14"/>
      <c r="Y130" s="14"/>
      <c r="Z130" s="14"/>
      <c r="AA130" s="14"/>
      <c r="AB130" s="14"/>
      <c r="AC130" s="14"/>
      <c r="AD130" s="14"/>
    </row>
    <row r="131" spans="1:30" ht="86.45" customHeight="1" x14ac:dyDescent="0.75">
      <c r="A131" s="330">
        <v>49</v>
      </c>
      <c r="B131" s="324" t="s">
        <v>1278</v>
      </c>
      <c r="C131" s="330" t="s">
        <v>511</v>
      </c>
      <c r="D131" s="347">
        <v>490039044080</v>
      </c>
      <c r="E131" s="221" t="s">
        <v>1298</v>
      </c>
      <c r="F131" s="216" t="s">
        <v>20</v>
      </c>
      <c r="G131" s="216">
        <v>4</v>
      </c>
      <c r="H131" s="233">
        <v>23.520375000000001</v>
      </c>
      <c r="I131" s="233">
        <f t="shared" ref="I131:I155" si="31">+H131*0.005</f>
        <v>0.11760187500000001</v>
      </c>
      <c r="J131" s="233">
        <v>0</v>
      </c>
      <c r="K131" s="233">
        <f>(112)*1000/1000000</f>
        <v>0.112</v>
      </c>
      <c r="L131" s="233">
        <f t="shared" ref="L131:L155" si="32">+H131*(8.5/100)</f>
        <v>1.9992318750000002</v>
      </c>
      <c r="M131" s="237">
        <v>0</v>
      </c>
      <c r="N131" s="233">
        <f>(1902)*1000/1000000</f>
        <v>1.9019999999999999</v>
      </c>
      <c r="O131" s="233">
        <f t="shared" si="27"/>
        <v>2.1168337500000001</v>
      </c>
      <c r="P131" s="233">
        <f t="shared" si="24"/>
        <v>2.0139999999999998</v>
      </c>
      <c r="Q131" s="233">
        <f t="shared" si="12"/>
        <v>0.10283375000000028</v>
      </c>
      <c r="R131" s="217" t="s">
        <v>284</v>
      </c>
      <c r="S131" s="216" t="s">
        <v>971</v>
      </c>
      <c r="T131" s="222" t="s">
        <v>282</v>
      </c>
      <c r="U131" s="222" t="s">
        <v>283</v>
      </c>
      <c r="V131" s="222"/>
    </row>
    <row r="132" spans="1:30" ht="86.45" customHeight="1" x14ac:dyDescent="0.75">
      <c r="A132" s="331"/>
      <c r="B132" s="325"/>
      <c r="C132" s="331"/>
      <c r="D132" s="349"/>
      <c r="E132" s="350" t="s">
        <v>1425</v>
      </c>
      <c r="F132" s="254" t="s">
        <v>20</v>
      </c>
      <c r="G132" s="254">
        <v>5</v>
      </c>
      <c r="H132" s="255">
        <v>22.3323</v>
      </c>
      <c r="I132" s="255">
        <f t="shared" si="31"/>
        <v>0.1116615</v>
      </c>
      <c r="J132" s="255">
        <v>0</v>
      </c>
      <c r="K132" s="255">
        <v>0</v>
      </c>
      <c r="L132" s="255">
        <f t="shared" si="32"/>
        <v>1.8982455</v>
      </c>
      <c r="M132" s="256">
        <v>0</v>
      </c>
      <c r="N132" s="255">
        <v>0</v>
      </c>
      <c r="O132" s="255">
        <f t="shared" si="27"/>
        <v>2.0099070000000001</v>
      </c>
      <c r="P132" s="255">
        <f t="shared" si="24"/>
        <v>0</v>
      </c>
      <c r="Q132" s="255">
        <f t="shared" si="12"/>
        <v>2.0099070000000001</v>
      </c>
      <c r="R132" s="258"/>
      <c r="S132" s="254"/>
      <c r="T132" s="222"/>
      <c r="U132" s="222"/>
      <c r="V132" s="222"/>
    </row>
    <row r="133" spans="1:30" ht="86.45" customHeight="1" x14ac:dyDescent="0.75">
      <c r="A133" s="331"/>
      <c r="B133" s="325"/>
      <c r="C133" s="331"/>
      <c r="D133" s="349"/>
      <c r="E133" s="351"/>
      <c r="F133" s="254" t="s">
        <v>21</v>
      </c>
      <c r="G133" s="254">
        <v>5</v>
      </c>
      <c r="H133" s="255">
        <v>20.543700000000001</v>
      </c>
      <c r="I133" s="255">
        <f>+H133*0.01</f>
        <v>0.20543700000000001</v>
      </c>
      <c r="J133" s="255">
        <v>0</v>
      </c>
      <c r="K133" s="255">
        <v>0.317</v>
      </c>
      <c r="L133" s="255">
        <f>+H133*(10/100)</f>
        <v>2.05437</v>
      </c>
      <c r="M133" s="256">
        <v>0</v>
      </c>
      <c r="N133" s="255">
        <v>3.956</v>
      </c>
      <c r="O133" s="255">
        <f t="shared" si="27"/>
        <v>2.2598069999999999</v>
      </c>
      <c r="P133" s="255">
        <f t="shared" si="24"/>
        <v>4.2729999999999997</v>
      </c>
      <c r="Q133" s="255">
        <f t="shared" si="12"/>
        <v>-2.0131929999999998</v>
      </c>
      <c r="R133" s="258"/>
      <c r="S133" s="254"/>
      <c r="T133" s="222"/>
      <c r="U133" s="222"/>
      <c r="V133" s="222"/>
    </row>
    <row r="134" spans="1:30" ht="86.45" customHeight="1" x14ac:dyDescent="0.75">
      <c r="A134" s="332"/>
      <c r="B134" s="326"/>
      <c r="C134" s="332"/>
      <c r="D134" s="348"/>
      <c r="E134" s="352"/>
      <c r="F134" s="254" t="s">
        <v>22</v>
      </c>
      <c r="G134" s="254">
        <v>5</v>
      </c>
      <c r="H134" s="255">
        <v>2.5669</v>
      </c>
      <c r="I134" s="255">
        <f>+H134*0.01</f>
        <v>2.5669000000000001E-2</v>
      </c>
      <c r="J134" s="255">
        <v>0</v>
      </c>
      <c r="K134" s="255">
        <v>5.0999999999999997E-2</v>
      </c>
      <c r="L134" s="255">
        <f>+H134*(10/100)</f>
        <v>0.25669000000000003</v>
      </c>
      <c r="M134" s="256">
        <v>0</v>
      </c>
      <c r="N134" s="255">
        <v>0.26900000000000002</v>
      </c>
      <c r="O134" s="255">
        <f t="shared" si="27"/>
        <v>0.28235900000000003</v>
      </c>
      <c r="P134" s="255">
        <f t="shared" si="24"/>
        <v>0.32</v>
      </c>
      <c r="Q134" s="255">
        <f t="shared" si="12"/>
        <v>-3.764099999999998E-2</v>
      </c>
      <c r="R134" s="258"/>
      <c r="S134" s="254"/>
      <c r="T134" s="222"/>
      <c r="U134" s="222"/>
      <c r="V134" s="222"/>
    </row>
    <row r="135" spans="1:30" ht="86.45" customHeight="1" x14ac:dyDescent="0.75">
      <c r="A135" s="216">
        <v>50</v>
      </c>
      <c r="B135" s="220" t="s">
        <v>559</v>
      </c>
      <c r="C135" s="216" t="s">
        <v>511</v>
      </c>
      <c r="D135" s="221">
        <v>359029004770</v>
      </c>
      <c r="E135" s="221"/>
      <c r="F135" s="216" t="s">
        <v>20</v>
      </c>
      <c r="G135" s="216">
        <v>2.85</v>
      </c>
      <c r="H135" s="233">
        <v>12.347564999999999</v>
      </c>
      <c r="I135" s="233">
        <f t="shared" si="31"/>
        <v>6.1737824999999996E-2</v>
      </c>
      <c r="J135" s="233">
        <v>0</v>
      </c>
      <c r="K135" s="233">
        <f>((56)*1000/1000000)</f>
        <v>5.6000000000000001E-2</v>
      </c>
      <c r="L135" s="233">
        <f>+H135*(8.5/100)</f>
        <v>1.049543025</v>
      </c>
      <c r="M135" s="237">
        <v>0</v>
      </c>
      <c r="N135" s="233">
        <f>((936)*1000/1000000)</f>
        <v>0.93600000000000005</v>
      </c>
      <c r="O135" s="233">
        <f t="shared" si="27"/>
        <v>1.11128085</v>
      </c>
      <c r="P135" s="233">
        <f t="shared" si="24"/>
        <v>0.9920000000000001</v>
      </c>
      <c r="Q135" s="233">
        <f t="shared" si="12"/>
        <v>0.11928084999999988</v>
      </c>
      <c r="R135" s="217" t="s">
        <v>284</v>
      </c>
      <c r="S135" s="216" t="s">
        <v>972</v>
      </c>
      <c r="T135" s="222" t="s">
        <v>282</v>
      </c>
      <c r="U135" s="222" t="s">
        <v>283</v>
      </c>
      <c r="V135" s="222"/>
    </row>
    <row r="136" spans="1:30" ht="86.45" customHeight="1" x14ac:dyDescent="0.75">
      <c r="A136" s="216">
        <v>51</v>
      </c>
      <c r="B136" s="220" t="s">
        <v>560</v>
      </c>
      <c r="C136" s="216" t="s">
        <v>511</v>
      </c>
      <c r="D136" s="221">
        <v>284679007872</v>
      </c>
      <c r="E136" s="221"/>
      <c r="F136" s="216" t="s">
        <v>20</v>
      </c>
      <c r="G136" s="216">
        <v>22</v>
      </c>
      <c r="H136" s="233">
        <v>3.122344</v>
      </c>
      <c r="I136" s="233">
        <f t="shared" si="31"/>
        <v>1.5611720000000001E-2</v>
      </c>
      <c r="J136" s="233">
        <v>0</v>
      </c>
      <c r="K136" s="233">
        <f>(((11+3)*1000)/1000000)</f>
        <v>1.4E-2</v>
      </c>
      <c r="L136" s="233">
        <f t="shared" si="32"/>
        <v>0.26539924000000004</v>
      </c>
      <c r="M136" s="237">
        <v>0</v>
      </c>
      <c r="N136" s="233">
        <f>(((189+48)*1000)/1000000)</f>
        <v>0.23699999999999999</v>
      </c>
      <c r="O136" s="233">
        <f t="shared" si="27"/>
        <v>0.28101096000000003</v>
      </c>
      <c r="P136" s="233">
        <f t="shared" si="24"/>
        <v>0.251</v>
      </c>
      <c r="Q136" s="233">
        <f t="shared" si="12"/>
        <v>3.0010960000000031E-2</v>
      </c>
      <c r="R136" s="217" t="s">
        <v>19</v>
      </c>
      <c r="S136" s="216" t="s">
        <v>973</v>
      </c>
      <c r="T136" s="222" t="s">
        <v>282</v>
      </c>
      <c r="U136" s="222" t="s">
        <v>283</v>
      </c>
      <c r="V136" s="222"/>
    </row>
    <row r="137" spans="1:30" ht="86.45" customHeight="1" x14ac:dyDescent="0.75">
      <c r="A137" s="333">
        <v>52</v>
      </c>
      <c r="B137" s="353" t="s">
        <v>561</v>
      </c>
      <c r="C137" s="333" t="s">
        <v>511</v>
      </c>
      <c r="D137" s="354">
        <v>36249018958</v>
      </c>
      <c r="E137" s="221"/>
      <c r="F137" s="216" t="s">
        <v>18</v>
      </c>
      <c r="G137" s="216">
        <v>1.4</v>
      </c>
      <c r="H137" s="233">
        <v>11.853709</v>
      </c>
      <c r="I137" s="233">
        <f t="shared" si="31"/>
        <v>5.9268545000000006E-2</v>
      </c>
      <c r="J137" s="233">
        <v>0</v>
      </c>
      <c r="K137" s="233">
        <f>(4+4+3+13+4+5+3+5+5)*1000/1000000</f>
        <v>4.5999999999999999E-2</v>
      </c>
      <c r="L137" s="233">
        <f t="shared" si="32"/>
        <v>1.007565265</v>
      </c>
      <c r="M137" s="237">
        <v>0</v>
      </c>
      <c r="N137" s="233">
        <f>(70+72+56+62+214+77+73+72+73+75)*1000/1000000</f>
        <v>0.84399999999999997</v>
      </c>
      <c r="O137" s="233">
        <f t="shared" si="27"/>
        <v>1.0668338099999999</v>
      </c>
      <c r="P137" s="233">
        <f t="shared" si="24"/>
        <v>0.89</v>
      </c>
      <c r="Q137" s="233">
        <f t="shared" si="12"/>
        <v>0.17683380999999987</v>
      </c>
      <c r="R137" s="217" t="s">
        <v>284</v>
      </c>
      <c r="S137" s="216" t="s">
        <v>974</v>
      </c>
      <c r="T137" s="222" t="s">
        <v>282</v>
      </c>
      <c r="U137" s="222" t="s">
        <v>283</v>
      </c>
      <c r="V137" s="222"/>
    </row>
    <row r="138" spans="1:30" ht="86.45" customHeight="1" x14ac:dyDescent="0.75">
      <c r="A138" s="333"/>
      <c r="B138" s="353"/>
      <c r="C138" s="333"/>
      <c r="D138" s="354"/>
      <c r="E138" s="221"/>
      <c r="F138" s="216" t="s">
        <v>20</v>
      </c>
      <c r="G138" s="216">
        <v>1.4</v>
      </c>
      <c r="H138" s="233">
        <v>12.264317</v>
      </c>
      <c r="I138" s="233">
        <f t="shared" si="31"/>
        <v>6.1321585000000005E-2</v>
      </c>
      <c r="J138" s="233">
        <v>0</v>
      </c>
      <c r="K138" s="233">
        <f>(10+6+47)*1000/1000000</f>
        <v>6.3E-2</v>
      </c>
      <c r="L138" s="233">
        <f t="shared" si="32"/>
        <v>1.0424669450000001</v>
      </c>
      <c r="M138" s="237">
        <v>0</v>
      </c>
      <c r="N138" s="233">
        <f>(156+84+804)*1000/1000000</f>
        <v>1.044</v>
      </c>
      <c r="O138" s="233">
        <f t="shared" si="27"/>
        <v>1.1037885300000001</v>
      </c>
      <c r="P138" s="233">
        <f t="shared" si="24"/>
        <v>1.107</v>
      </c>
      <c r="Q138" s="233">
        <f t="shared" si="12"/>
        <v>-3.211469999999883E-3</v>
      </c>
      <c r="R138" s="217" t="s">
        <v>284</v>
      </c>
      <c r="S138" s="216" t="s">
        <v>975</v>
      </c>
      <c r="T138" s="222" t="s">
        <v>282</v>
      </c>
      <c r="U138" s="222" t="s">
        <v>310</v>
      </c>
      <c r="V138" s="222"/>
    </row>
    <row r="139" spans="1:30" ht="86.45" customHeight="1" x14ac:dyDescent="0.75">
      <c r="A139" s="216">
        <v>53</v>
      </c>
      <c r="B139" s="220" t="s">
        <v>562</v>
      </c>
      <c r="C139" s="216" t="s">
        <v>511</v>
      </c>
      <c r="D139" s="221">
        <v>190569007392</v>
      </c>
      <c r="E139" s="221"/>
      <c r="F139" s="216" t="s">
        <v>20</v>
      </c>
      <c r="G139" s="216">
        <v>2.48</v>
      </c>
      <c r="H139" s="233">
        <v>2.5995089999999998</v>
      </c>
      <c r="I139" s="233">
        <f t="shared" si="31"/>
        <v>1.2997544999999999E-2</v>
      </c>
      <c r="J139" s="233">
        <v>0</v>
      </c>
      <c r="K139" s="233">
        <f>((10)*1000)/1000000</f>
        <v>0.01</v>
      </c>
      <c r="L139" s="233">
        <f t="shared" si="32"/>
        <v>0.22095826500000001</v>
      </c>
      <c r="M139" s="237">
        <v>0</v>
      </c>
      <c r="N139" s="233">
        <f>((176)*1000)/1000000</f>
        <v>0.17599999999999999</v>
      </c>
      <c r="O139" s="233">
        <f t="shared" si="27"/>
        <v>0.23395581000000001</v>
      </c>
      <c r="P139" s="233">
        <f t="shared" si="24"/>
        <v>0.186</v>
      </c>
      <c r="Q139" s="233">
        <f t="shared" si="12"/>
        <v>4.7955810000000015E-2</v>
      </c>
      <c r="R139" s="217" t="s">
        <v>284</v>
      </c>
      <c r="S139" s="216" t="s">
        <v>976</v>
      </c>
      <c r="T139" s="222" t="s">
        <v>282</v>
      </c>
      <c r="U139" s="222" t="s">
        <v>283</v>
      </c>
      <c r="V139" s="222"/>
    </row>
    <row r="140" spans="1:30" ht="86.45" customHeight="1" x14ac:dyDescent="0.75">
      <c r="A140" s="216">
        <v>54</v>
      </c>
      <c r="B140" s="220" t="s">
        <v>563</v>
      </c>
      <c r="C140" s="216" t="s">
        <v>511</v>
      </c>
      <c r="D140" s="221">
        <v>490019009197</v>
      </c>
      <c r="E140" s="221"/>
      <c r="F140" s="216" t="s">
        <v>20</v>
      </c>
      <c r="G140" s="216">
        <v>2</v>
      </c>
      <c r="H140" s="233">
        <v>7.4019519999999996</v>
      </c>
      <c r="I140" s="233">
        <f t="shared" si="31"/>
        <v>3.7009759999999996E-2</v>
      </c>
      <c r="J140" s="233">
        <v>0</v>
      </c>
      <c r="K140" s="233">
        <f>(((31)*1000)/1000000)</f>
        <v>3.1E-2</v>
      </c>
      <c r="L140" s="233">
        <f t="shared" si="32"/>
        <v>0.62916592000000005</v>
      </c>
      <c r="M140" s="237">
        <v>0</v>
      </c>
      <c r="N140" s="233">
        <f>(((515)*1000)/1000000)</f>
        <v>0.51500000000000001</v>
      </c>
      <c r="O140" s="233">
        <f t="shared" si="27"/>
        <v>0.66617568000000005</v>
      </c>
      <c r="P140" s="233">
        <f t="shared" si="24"/>
        <v>0.54600000000000004</v>
      </c>
      <c r="Q140" s="233">
        <f t="shared" ref="Q140:Q168" si="33">+O140-P140</f>
        <v>0.12017568000000001</v>
      </c>
      <c r="R140" s="217" t="s">
        <v>19</v>
      </c>
      <c r="S140" s="216" t="s">
        <v>977</v>
      </c>
      <c r="T140" s="222" t="s">
        <v>282</v>
      </c>
      <c r="U140" s="222" t="s">
        <v>283</v>
      </c>
      <c r="V140" s="222"/>
    </row>
    <row r="141" spans="1:30" ht="86.45" customHeight="1" x14ac:dyDescent="0.75">
      <c r="A141" s="216">
        <v>55</v>
      </c>
      <c r="B141" s="220" t="s">
        <v>1279</v>
      </c>
      <c r="C141" s="216" t="s">
        <v>511</v>
      </c>
      <c r="D141" s="221">
        <v>170149025940</v>
      </c>
      <c r="E141" s="221"/>
      <c r="F141" s="216" t="s">
        <v>20</v>
      </c>
      <c r="G141" s="216">
        <v>2</v>
      </c>
      <c r="H141" s="233">
        <v>13.046559999999999</v>
      </c>
      <c r="I141" s="233">
        <f t="shared" si="31"/>
        <v>6.5232799999999994E-2</v>
      </c>
      <c r="J141" s="233">
        <v>0</v>
      </c>
      <c r="K141" s="233">
        <v>0</v>
      </c>
      <c r="L141" s="233">
        <f t="shared" si="32"/>
        <v>1.1089576000000001</v>
      </c>
      <c r="M141" s="237">
        <v>0</v>
      </c>
      <c r="N141" s="233">
        <v>0</v>
      </c>
      <c r="O141" s="233">
        <f t="shared" si="27"/>
        <v>1.1741904000000001</v>
      </c>
      <c r="P141" s="233">
        <f t="shared" si="24"/>
        <v>0</v>
      </c>
      <c r="Q141" s="233">
        <f t="shared" si="33"/>
        <v>1.1741904000000001</v>
      </c>
      <c r="R141" s="217" t="s">
        <v>19</v>
      </c>
      <c r="S141" s="216" t="s">
        <v>449</v>
      </c>
      <c r="T141" s="222" t="s">
        <v>344</v>
      </c>
      <c r="U141" s="222"/>
      <c r="V141" s="222"/>
    </row>
    <row r="142" spans="1:30" ht="86.45" customHeight="1" x14ac:dyDescent="0.75">
      <c r="A142" s="333">
        <v>54</v>
      </c>
      <c r="B142" s="353" t="s">
        <v>565</v>
      </c>
      <c r="C142" s="333" t="s">
        <v>511</v>
      </c>
      <c r="D142" s="354">
        <v>181739030301</v>
      </c>
      <c r="E142" s="221"/>
      <c r="F142" s="216" t="s">
        <v>18</v>
      </c>
      <c r="G142" s="216">
        <v>1</v>
      </c>
      <c r="H142" s="233">
        <v>8.0286799999999996</v>
      </c>
      <c r="I142" s="233">
        <f>+H142*0.005</f>
        <v>4.0143399999999996E-2</v>
      </c>
      <c r="J142" s="233">
        <v>0</v>
      </c>
      <c r="K142" s="233">
        <v>0</v>
      </c>
      <c r="L142" s="233">
        <f>+H142*(8.5/100)</f>
        <v>0.68243779999999998</v>
      </c>
      <c r="M142" s="237">
        <v>0</v>
      </c>
      <c r="N142" s="233">
        <v>0</v>
      </c>
      <c r="O142" s="233">
        <f>+I142+L142</f>
        <v>0.72258120000000003</v>
      </c>
      <c r="P142" s="233">
        <f>+((J142+K142)+(M142+N142))</f>
        <v>0</v>
      </c>
      <c r="Q142" s="233">
        <f>+O142-P142</f>
        <v>0.72258120000000003</v>
      </c>
      <c r="R142" s="217" t="s">
        <v>19</v>
      </c>
      <c r="S142" s="216" t="s">
        <v>349</v>
      </c>
      <c r="T142" s="222" t="s">
        <v>344</v>
      </c>
      <c r="U142" s="222"/>
      <c r="V142" s="222"/>
    </row>
    <row r="143" spans="1:30" ht="86.45" customHeight="1" x14ac:dyDescent="0.75">
      <c r="A143" s="333"/>
      <c r="B143" s="353"/>
      <c r="C143" s="333"/>
      <c r="D143" s="354"/>
      <c r="E143" s="221"/>
      <c r="F143" s="216" t="s">
        <v>20</v>
      </c>
      <c r="G143" s="216">
        <v>1.5</v>
      </c>
      <c r="H143" s="233">
        <v>12.786617</v>
      </c>
      <c r="I143" s="233">
        <f t="shared" si="31"/>
        <v>6.3933085000000001E-2</v>
      </c>
      <c r="J143" s="233">
        <v>0</v>
      </c>
      <c r="K143" s="233">
        <v>0</v>
      </c>
      <c r="L143" s="233">
        <f t="shared" si="32"/>
        <v>1.086862445</v>
      </c>
      <c r="M143" s="237">
        <v>0</v>
      </c>
      <c r="N143" s="233">
        <v>0</v>
      </c>
      <c r="O143" s="233">
        <f t="shared" si="27"/>
        <v>1.1507955299999999</v>
      </c>
      <c r="P143" s="233">
        <f t="shared" si="24"/>
        <v>0</v>
      </c>
      <c r="Q143" s="233">
        <f t="shared" si="33"/>
        <v>1.1507955299999999</v>
      </c>
      <c r="R143" s="217" t="s">
        <v>19</v>
      </c>
      <c r="S143" s="216" t="s">
        <v>449</v>
      </c>
      <c r="T143" s="222" t="s">
        <v>344</v>
      </c>
      <c r="U143" s="222"/>
      <c r="V143" s="222"/>
    </row>
    <row r="144" spans="1:30" ht="86.45" customHeight="1" x14ac:dyDescent="0.75">
      <c r="A144" s="333">
        <v>55</v>
      </c>
      <c r="B144" s="353" t="s">
        <v>568</v>
      </c>
      <c r="C144" s="333" t="s">
        <v>511</v>
      </c>
      <c r="D144" s="354">
        <v>490019001960</v>
      </c>
      <c r="E144" s="221"/>
      <c r="F144" s="216" t="s">
        <v>18</v>
      </c>
      <c r="G144" s="216">
        <v>1</v>
      </c>
      <c r="H144" s="233">
        <v>9.7777370000000001</v>
      </c>
      <c r="I144" s="233">
        <f>+H144*0.005</f>
        <v>4.8888685000000001E-2</v>
      </c>
      <c r="J144" s="233">
        <v>0</v>
      </c>
      <c r="K144" s="233">
        <v>0</v>
      </c>
      <c r="L144" s="233">
        <f>+H144*(8.5/100)</f>
        <v>0.83110764500000012</v>
      </c>
      <c r="M144" s="237">
        <v>0</v>
      </c>
      <c r="N144" s="233">
        <v>0</v>
      </c>
      <c r="O144" s="233">
        <f>+I144+L144</f>
        <v>0.8799963300000001</v>
      </c>
      <c r="P144" s="233">
        <f>+((J144+K144)+(M144+N144))</f>
        <v>0</v>
      </c>
      <c r="Q144" s="233">
        <f>+O144-P144</f>
        <v>0.8799963300000001</v>
      </c>
      <c r="R144" s="217" t="s">
        <v>56</v>
      </c>
      <c r="S144" s="216" t="s">
        <v>346</v>
      </c>
      <c r="T144" s="222" t="s">
        <v>344</v>
      </c>
      <c r="U144" s="222"/>
      <c r="V144" s="222"/>
    </row>
    <row r="145" spans="1:22" ht="86.45" customHeight="1" x14ac:dyDescent="0.75">
      <c r="A145" s="333"/>
      <c r="B145" s="353"/>
      <c r="C145" s="333"/>
      <c r="D145" s="354"/>
      <c r="E145" s="221"/>
      <c r="F145" s="216" t="s">
        <v>20</v>
      </c>
      <c r="G145" s="216">
        <v>1</v>
      </c>
      <c r="H145" s="233">
        <v>7.2057440000000001</v>
      </c>
      <c r="I145" s="233">
        <f t="shared" si="31"/>
        <v>3.602872E-2</v>
      </c>
      <c r="J145" s="233">
        <v>0</v>
      </c>
      <c r="K145" s="233">
        <f>(20+8+4)*1000/1000000</f>
        <v>3.2000000000000001E-2</v>
      </c>
      <c r="L145" s="233">
        <f t="shared" si="32"/>
        <v>0.61248824000000002</v>
      </c>
      <c r="M145" s="237">
        <v>0</v>
      </c>
      <c r="N145" s="233">
        <f>(54+150+340)*1000/1000000</f>
        <v>0.54400000000000004</v>
      </c>
      <c r="O145" s="233">
        <f t="shared" si="27"/>
        <v>0.64851696000000003</v>
      </c>
      <c r="P145" s="233">
        <f t="shared" si="24"/>
        <v>0.57600000000000007</v>
      </c>
      <c r="Q145" s="233">
        <f t="shared" si="33"/>
        <v>7.2516959999999964E-2</v>
      </c>
      <c r="R145" s="217" t="s">
        <v>284</v>
      </c>
      <c r="S145" s="216" t="s">
        <v>964</v>
      </c>
      <c r="T145" s="222" t="s">
        <v>282</v>
      </c>
      <c r="U145" s="222" t="s">
        <v>283</v>
      </c>
      <c r="V145" s="222"/>
    </row>
    <row r="146" spans="1:22" s="208" customFormat="1" ht="86.45" customHeight="1" x14ac:dyDescent="0.75">
      <c r="A146" s="224">
        <v>56</v>
      </c>
      <c r="B146" s="225" t="s">
        <v>567</v>
      </c>
      <c r="C146" s="224" t="s">
        <v>511</v>
      </c>
      <c r="D146" s="226">
        <v>176089037450</v>
      </c>
      <c r="E146" s="226"/>
      <c r="F146" s="224" t="s">
        <v>18</v>
      </c>
      <c r="G146" s="224">
        <v>1</v>
      </c>
      <c r="H146" s="235">
        <v>8.7405489999999997</v>
      </c>
      <c r="I146" s="235">
        <f t="shared" si="31"/>
        <v>4.3702745000000001E-2</v>
      </c>
      <c r="J146" s="235">
        <v>0</v>
      </c>
      <c r="K146" s="235">
        <v>0</v>
      </c>
      <c r="L146" s="235">
        <f t="shared" si="32"/>
        <v>0.74294666500000006</v>
      </c>
      <c r="M146" s="239">
        <v>0</v>
      </c>
      <c r="N146" s="235">
        <v>0</v>
      </c>
      <c r="O146" s="235">
        <f t="shared" si="27"/>
        <v>0.7866494100000001</v>
      </c>
      <c r="P146" s="235">
        <f t="shared" si="24"/>
        <v>0</v>
      </c>
      <c r="Q146" s="235">
        <f t="shared" si="33"/>
        <v>0.7866494100000001</v>
      </c>
      <c r="R146" s="227" t="s">
        <v>19</v>
      </c>
      <c r="S146" s="224" t="s">
        <v>346</v>
      </c>
      <c r="T146" s="228" t="s">
        <v>344</v>
      </c>
      <c r="U146" s="228" t="s">
        <v>350</v>
      </c>
      <c r="V146" s="228"/>
    </row>
    <row r="147" spans="1:22" ht="86.45" customHeight="1" x14ac:dyDescent="0.75">
      <c r="A147" s="333">
        <v>57</v>
      </c>
      <c r="B147" s="353" t="s">
        <v>566</v>
      </c>
      <c r="C147" s="382" t="s">
        <v>511</v>
      </c>
      <c r="D147" s="381">
        <v>176089037450</v>
      </c>
      <c r="E147" s="226"/>
      <c r="F147" s="216" t="s">
        <v>18</v>
      </c>
      <c r="G147" s="216">
        <v>1.9</v>
      </c>
      <c r="H147" s="233">
        <v>9.465363</v>
      </c>
      <c r="I147" s="233">
        <f>+H147*0.005</f>
        <v>4.7326815000000001E-2</v>
      </c>
      <c r="J147" s="233">
        <v>0</v>
      </c>
      <c r="K147" s="233">
        <f>(4+3+4+4+6+3+3+11+3)*1000/1000000</f>
        <v>4.1000000000000002E-2</v>
      </c>
      <c r="L147" s="233">
        <f>+H147*(8.5/100)</f>
        <v>0.80455585500000004</v>
      </c>
      <c r="M147" s="237">
        <v>0</v>
      </c>
      <c r="N147" s="233">
        <f>(63+58+57+62+103+52+62+176+61)*1000/1000000</f>
        <v>0.69399999999999995</v>
      </c>
      <c r="O147" s="233">
        <f>+I147+L147</f>
        <v>0.85188267000000006</v>
      </c>
      <c r="P147" s="233">
        <f>+((J147+K147)+(M147+N147))</f>
        <v>0.73499999999999999</v>
      </c>
      <c r="Q147" s="233">
        <f>+O147-P147</f>
        <v>0.11688267000000008</v>
      </c>
      <c r="R147" s="217" t="s">
        <v>284</v>
      </c>
      <c r="S147" s="216" t="s">
        <v>978</v>
      </c>
      <c r="T147" s="222" t="s">
        <v>282</v>
      </c>
      <c r="U147" s="222" t="s">
        <v>283</v>
      </c>
      <c r="V147" s="222"/>
    </row>
    <row r="148" spans="1:22" ht="86.45" customHeight="1" x14ac:dyDescent="0.75">
      <c r="A148" s="333"/>
      <c r="B148" s="353"/>
      <c r="C148" s="382"/>
      <c r="D148" s="381"/>
      <c r="E148" s="226"/>
      <c r="F148" s="216" t="s">
        <v>20</v>
      </c>
      <c r="G148" s="216">
        <v>1</v>
      </c>
      <c r="H148" s="233">
        <v>9.5615760000000005</v>
      </c>
      <c r="I148" s="233">
        <f>+H148*0.005</f>
        <v>4.7807880000000004E-2</v>
      </c>
      <c r="J148" s="233">
        <v>0</v>
      </c>
      <c r="K148" s="233">
        <v>0</v>
      </c>
      <c r="L148" s="233">
        <f>+H148*(8.5/100)</f>
        <v>0.81273396000000009</v>
      </c>
      <c r="M148" s="237">
        <v>0</v>
      </c>
      <c r="N148" s="233">
        <v>0</v>
      </c>
      <c r="O148" s="233">
        <f>+I148+L148</f>
        <v>0.86054184000000011</v>
      </c>
      <c r="P148" s="233">
        <f>+((J148+K148)+(M148+N148))</f>
        <v>0</v>
      </c>
      <c r="Q148" s="233">
        <f>+O148-P148</f>
        <v>0.86054184000000011</v>
      </c>
      <c r="R148" s="217" t="s">
        <v>19</v>
      </c>
      <c r="S148" s="216" t="s">
        <v>446</v>
      </c>
      <c r="T148" s="222" t="s">
        <v>344</v>
      </c>
      <c r="U148" s="222"/>
      <c r="V148" s="222"/>
    </row>
    <row r="149" spans="1:22" ht="86.45" customHeight="1" x14ac:dyDescent="0.75">
      <c r="A149" s="333">
        <v>58</v>
      </c>
      <c r="B149" s="353" t="s">
        <v>569</v>
      </c>
      <c r="C149" s="333" t="s">
        <v>511</v>
      </c>
      <c r="D149" s="354">
        <v>490019040480</v>
      </c>
      <c r="E149" s="221"/>
      <c r="F149" s="216" t="s">
        <v>18</v>
      </c>
      <c r="G149" s="216">
        <v>2.7</v>
      </c>
      <c r="H149" s="233">
        <v>5.9849370000000004</v>
      </c>
      <c r="I149" s="233">
        <f t="shared" si="31"/>
        <v>2.9924685000000003E-2</v>
      </c>
      <c r="J149" s="233">
        <v>0</v>
      </c>
      <c r="K149" s="233">
        <f>(2+9+3+3+3+4+5)/1000</f>
        <v>2.9000000000000001E-2</v>
      </c>
      <c r="L149" s="233">
        <f t="shared" si="32"/>
        <v>0.50871964500000011</v>
      </c>
      <c r="M149" s="237">
        <v>0</v>
      </c>
      <c r="N149" s="233">
        <v>0.48199999999999998</v>
      </c>
      <c r="O149" s="233">
        <f t="shared" si="27"/>
        <v>0.53864433000000012</v>
      </c>
      <c r="P149" s="233">
        <f t="shared" si="24"/>
        <v>0.51100000000000001</v>
      </c>
      <c r="Q149" s="233">
        <f t="shared" si="33"/>
        <v>2.7644330000000106E-2</v>
      </c>
      <c r="R149" s="217" t="s">
        <v>284</v>
      </c>
      <c r="S149" s="216" t="s">
        <v>979</v>
      </c>
      <c r="T149" s="222" t="s">
        <v>282</v>
      </c>
      <c r="U149" s="222" t="s">
        <v>283</v>
      </c>
      <c r="V149" s="222"/>
    </row>
    <row r="150" spans="1:22" ht="86.45" customHeight="1" x14ac:dyDescent="0.75">
      <c r="A150" s="333"/>
      <c r="B150" s="353"/>
      <c r="C150" s="333"/>
      <c r="D150" s="354"/>
      <c r="E150" s="221"/>
      <c r="F150" s="216" t="s">
        <v>20</v>
      </c>
      <c r="G150" s="216">
        <v>1.5</v>
      </c>
      <c r="H150" s="233">
        <v>9.8612140000000004</v>
      </c>
      <c r="I150" s="233">
        <f t="shared" si="31"/>
        <v>4.930607E-2</v>
      </c>
      <c r="J150" s="233">
        <v>0</v>
      </c>
      <c r="K150" s="233">
        <f>(((20+19+5+6)*1000)/1000000)</f>
        <v>0.05</v>
      </c>
      <c r="L150" s="233">
        <f t="shared" si="32"/>
        <v>0.8382031900000001</v>
      </c>
      <c r="M150" s="237">
        <v>0</v>
      </c>
      <c r="N150" s="233">
        <f>(((340+336+64+99)*1000)/1000000)</f>
        <v>0.83899999999999997</v>
      </c>
      <c r="O150" s="233">
        <f t="shared" si="27"/>
        <v>0.88750926000000008</v>
      </c>
      <c r="P150" s="233">
        <f t="shared" si="24"/>
        <v>0.88900000000000001</v>
      </c>
      <c r="Q150" s="233">
        <f t="shared" si="33"/>
        <v>-1.4907399999999349E-3</v>
      </c>
      <c r="R150" s="217" t="s">
        <v>284</v>
      </c>
      <c r="S150" s="216" t="s">
        <v>939</v>
      </c>
      <c r="T150" s="222" t="s">
        <v>282</v>
      </c>
      <c r="U150" s="222" t="s">
        <v>310</v>
      </c>
      <c r="V150" s="222"/>
    </row>
    <row r="151" spans="1:22" ht="86.45" customHeight="1" x14ac:dyDescent="0.75">
      <c r="A151" s="216">
        <v>59</v>
      </c>
      <c r="B151" s="220" t="s">
        <v>571</v>
      </c>
      <c r="C151" s="216" t="s">
        <v>511</v>
      </c>
      <c r="D151" s="240" t="s">
        <v>1296</v>
      </c>
      <c r="E151" s="240"/>
      <c r="F151" s="216" t="s">
        <v>20</v>
      </c>
      <c r="G151" s="216">
        <v>1.5</v>
      </c>
      <c r="H151" s="233">
        <v>13.134594</v>
      </c>
      <c r="I151" s="233">
        <f t="shared" si="31"/>
        <v>6.5672969999999997E-2</v>
      </c>
      <c r="J151" s="233">
        <v>0</v>
      </c>
      <c r="K151" s="233">
        <v>0</v>
      </c>
      <c r="L151" s="233">
        <f t="shared" si="32"/>
        <v>1.11644049</v>
      </c>
      <c r="M151" s="237">
        <v>0</v>
      </c>
      <c r="N151" s="233">
        <v>0</v>
      </c>
      <c r="O151" s="233">
        <f t="shared" si="27"/>
        <v>1.1821134600000001</v>
      </c>
      <c r="P151" s="233">
        <f t="shared" si="24"/>
        <v>0</v>
      </c>
      <c r="Q151" s="233">
        <f t="shared" si="33"/>
        <v>1.1821134600000001</v>
      </c>
      <c r="R151" s="217" t="s">
        <v>19</v>
      </c>
      <c r="S151" s="216" t="s">
        <v>447</v>
      </c>
      <c r="T151" s="222" t="s">
        <v>344</v>
      </c>
      <c r="U151" s="222"/>
      <c r="V151" s="222"/>
    </row>
    <row r="152" spans="1:22" ht="86.45" customHeight="1" x14ac:dyDescent="0.75">
      <c r="A152" s="216">
        <v>60</v>
      </c>
      <c r="B152" s="220" t="s">
        <v>572</v>
      </c>
      <c r="C152" s="216" t="s">
        <v>511</v>
      </c>
      <c r="D152" s="221">
        <v>176029035740</v>
      </c>
      <c r="E152" s="221"/>
      <c r="F152" s="216" t="s">
        <v>20</v>
      </c>
      <c r="G152" s="216">
        <v>1.5</v>
      </c>
      <c r="H152" s="233">
        <v>12.131772</v>
      </c>
      <c r="I152" s="233">
        <f>+H152*0.005</f>
        <v>6.0658860000000002E-2</v>
      </c>
      <c r="J152" s="233">
        <v>0</v>
      </c>
      <c r="K152" s="233">
        <f>(((20+27+5+9)*1000)/1000000)</f>
        <v>6.0999999999999999E-2</v>
      </c>
      <c r="L152" s="233">
        <f>+H152*(8.5/100)</f>
        <v>1.0312006200000001</v>
      </c>
      <c r="M152" s="237">
        <v>0</v>
      </c>
      <c r="N152" s="233">
        <f>(((340+462+78+152)*1000)/1000000)</f>
        <v>1.032</v>
      </c>
      <c r="O152" s="233">
        <f>+I152+L152</f>
        <v>1.0918594800000001</v>
      </c>
      <c r="P152" s="233">
        <f>+((J152+K152)+(M152+N152))</f>
        <v>1.093</v>
      </c>
      <c r="Q152" s="233">
        <f>+O152-P152</f>
        <v>-1.1405199999998672E-3</v>
      </c>
      <c r="R152" s="217" t="s">
        <v>284</v>
      </c>
      <c r="S152" s="216" t="s">
        <v>939</v>
      </c>
      <c r="T152" s="222" t="s">
        <v>282</v>
      </c>
      <c r="U152" s="222" t="s">
        <v>310</v>
      </c>
      <c r="V152" s="222"/>
    </row>
    <row r="153" spans="1:22" ht="86.45" customHeight="1" x14ac:dyDescent="0.75">
      <c r="A153" s="216">
        <v>61</v>
      </c>
      <c r="B153" s="220" t="s">
        <v>1280</v>
      </c>
      <c r="C153" s="216" t="s">
        <v>511</v>
      </c>
      <c r="D153" s="221">
        <v>184819047770</v>
      </c>
      <c r="E153" s="221"/>
      <c r="F153" s="216" t="s">
        <v>20</v>
      </c>
      <c r="G153" s="216">
        <v>1.5</v>
      </c>
      <c r="H153" s="233">
        <v>2.1460560000000002</v>
      </c>
      <c r="I153" s="233">
        <f t="shared" si="31"/>
        <v>1.0730280000000002E-2</v>
      </c>
      <c r="J153" s="233">
        <v>0</v>
      </c>
      <c r="K153" s="233">
        <v>0</v>
      </c>
      <c r="L153" s="233">
        <f t="shared" si="32"/>
        <v>0.18241476000000004</v>
      </c>
      <c r="M153" s="237">
        <v>0</v>
      </c>
      <c r="N153" s="233">
        <v>0</v>
      </c>
      <c r="O153" s="233">
        <f t="shared" si="27"/>
        <v>0.19314504000000005</v>
      </c>
      <c r="P153" s="233">
        <f t="shared" si="24"/>
        <v>0</v>
      </c>
      <c r="Q153" s="233">
        <f t="shared" si="33"/>
        <v>0.19314504000000005</v>
      </c>
      <c r="R153" s="217" t="s">
        <v>19</v>
      </c>
      <c r="S153" s="216" t="s">
        <v>446</v>
      </c>
      <c r="T153" s="222" t="s">
        <v>344</v>
      </c>
      <c r="U153" s="222"/>
      <c r="V153" s="222"/>
    </row>
    <row r="154" spans="1:22" s="244" customFormat="1" ht="86.45" customHeight="1" x14ac:dyDescent="0.75">
      <c r="A154" s="324">
        <v>62</v>
      </c>
      <c r="B154" s="324" t="s">
        <v>1374</v>
      </c>
      <c r="C154" s="330" t="s">
        <v>511</v>
      </c>
      <c r="D154" s="347">
        <v>49069003639</v>
      </c>
      <c r="E154" s="347" t="s">
        <v>1298</v>
      </c>
      <c r="F154" s="216" t="s">
        <v>18</v>
      </c>
      <c r="G154" s="216">
        <v>1.5</v>
      </c>
      <c r="H154" s="233">
        <v>6.1603750000000002</v>
      </c>
      <c r="I154" s="233">
        <f t="shared" si="31"/>
        <v>3.0801875000000003E-2</v>
      </c>
      <c r="J154" s="233">
        <v>0</v>
      </c>
      <c r="K154" s="233">
        <f>(18+4+6)*1000/1000000</f>
        <v>2.8000000000000001E-2</v>
      </c>
      <c r="L154" s="233">
        <f t="shared" si="32"/>
        <v>0.52363187500000008</v>
      </c>
      <c r="M154" s="237">
        <v>0</v>
      </c>
      <c r="N154" s="233">
        <f>(316+72+83)*1000/1000000</f>
        <v>0.47099999999999997</v>
      </c>
      <c r="O154" s="233">
        <f t="shared" si="27"/>
        <v>0.55443375000000006</v>
      </c>
      <c r="P154" s="233">
        <f t="shared" si="24"/>
        <v>0.499</v>
      </c>
      <c r="Q154" s="233">
        <f t="shared" si="33"/>
        <v>5.5433750000000059E-2</v>
      </c>
      <c r="R154" s="217" t="s">
        <v>277</v>
      </c>
      <c r="S154" s="216" t="s">
        <v>936</v>
      </c>
      <c r="T154" s="243" t="s">
        <v>282</v>
      </c>
      <c r="U154" s="243" t="s">
        <v>283</v>
      </c>
      <c r="V154" s="243"/>
    </row>
    <row r="155" spans="1:22" s="244" customFormat="1" ht="86.45" customHeight="1" x14ac:dyDescent="0.75">
      <c r="A155" s="325"/>
      <c r="B155" s="325"/>
      <c r="C155" s="331"/>
      <c r="D155" s="349"/>
      <c r="E155" s="348"/>
      <c r="F155" s="216" t="s">
        <v>20</v>
      </c>
      <c r="G155" s="216">
        <v>1.5</v>
      </c>
      <c r="H155" s="233">
        <v>11.947495</v>
      </c>
      <c r="I155" s="233">
        <f t="shared" si="31"/>
        <v>5.9737474999999998E-2</v>
      </c>
      <c r="J155" s="233">
        <v>0</v>
      </c>
      <c r="K155" s="233">
        <v>0</v>
      </c>
      <c r="L155" s="233">
        <f t="shared" si="32"/>
        <v>1.0155370750000001</v>
      </c>
      <c r="M155" s="237">
        <v>0</v>
      </c>
      <c r="N155" s="237">
        <v>0</v>
      </c>
      <c r="O155" s="233">
        <f t="shared" si="27"/>
        <v>1.0752745500000001</v>
      </c>
      <c r="P155" s="233">
        <f t="shared" si="24"/>
        <v>0</v>
      </c>
      <c r="Q155" s="233">
        <f t="shared" si="33"/>
        <v>1.0752745500000001</v>
      </c>
      <c r="R155" s="217" t="s">
        <v>284</v>
      </c>
      <c r="S155" s="216" t="s">
        <v>953</v>
      </c>
      <c r="T155" s="243" t="s">
        <v>282</v>
      </c>
      <c r="U155" s="243" t="s">
        <v>283</v>
      </c>
      <c r="V155" s="243"/>
    </row>
    <row r="156" spans="1:22" s="244" customFormat="1" ht="86.45" customHeight="1" x14ac:dyDescent="0.75">
      <c r="A156" s="326"/>
      <c r="B156" s="326"/>
      <c r="C156" s="332"/>
      <c r="D156" s="348"/>
      <c r="E156" s="260" t="s">
        <v>1375</v>
      </c>
      <c r="F156" s="360" t="s">
        <v>1376</v>
      </c>
      <c r="G156" s="361"/>
      <c r="H156" s="361"/>
      <c r="I156" s="361"/>
      <c r="J156" s="361"/>
      <c r="K156" s="361"/>
      <c r="L156" s="361"/>
      <c r="M156" s="361"/>
      <c r="N156" s="361"/>
      <c r="O156" s="361"/>
      <c r="P156" s="361"/>
      <c r="Q156" s="361"/>
      <c r="R156" s="361"/>
      <c r="S156" s="362"/>
      <c r="T156" s="243"/>
      <c r="U156" s="243"/>
      <c r="V156" s="243"/>
    </row>
    <row r="157" spans="1:22" ht="117.75" customHeight="1" x14ac:dyDescent="0.75">
      <c r="A157" s="216">
        <v>63</v>
      </c>
      <c r="B157" s="261" t="s">
        <v>1281</v>
      </c>
      <c r="C157" s="216" t="s">
        <v>511</v>
      </c>
      <c r="D157" s="221">
        <v>530019003890</v>
      </c>
      <c r="E157" s="221"/>
      <c r="F157" s="216" t="s">
        <v>20</v>
      </c>
      <c r="G157" s="216">
        <v>2.2000000000000002</v>
      </c>
      <c r="H157" s="233">
        <v>14.598770999999999</v>
      </c>
      <c r="I157" s="233">
        <f t="shared" ref="I157:I186" si="34">+H157*0.005</f>
        <v>7.2993854999999996E-2</v>
      </c>
      <c r="J157" s="233">
        <v>0</v>
      </c>
      <c r="K157" s="233">
        <v>0</v>
      </c>
      <c r="L157" s="233">
        <f t="shared" ref="L157:L186" si="35">+H157*(8.5/100)</f>
        <v>1.2408955349999999</v>
      </c>
      <c r="M157" s="237">
        <v>0</v>
      </c>
      <c r="N157" s="233">
        <v>0</v>
      </c>
      <c r="O157" s="233">
        <f t="shared" si="27"/>
        <v>1.3138893899999999</v>
      </c>
      <c r="P157" s="233">
        <f t="shared" ref="P157:P212" si="36">+((J157+K157)+(M157+N157))</f>
        <v>0</v>
      </c>
      <c r="Q157" s="233">
        <f t="shared" si="33"/>
        <v>1.3138893899999999</v>
      </c>
      <c r="R157" s="217" t="s">
        <v>19</v>
      </c>
      <c r="S157" s="216" t="s">
        <v>449</v>
      </c>
      <c r="T157" s="222" t="s">
        <v>344</v>
      </c>
      <c r="U157" s="222"/>
      <c r="V157" s="222"/>
    </row>
    <row r="158" spans="1:22" s="244" customFormat="1" ht="86.45" customHeight="1" x14ac:dyDescent="0.75">
      <c r="A158" s="330">
        <v>64</v>
      </c>
      <c r="B158" s="324" t="s">
        <v>576</v>
      </c>
      <c r="C158" s="330" t="s">
        <v>511</v>
      </c>
      <c r="D158" s="347">
        <v>251019402510</v>
      </c>
      <c r="E158" s="221" t="s">
        <v>1298</v>
      </c>
      <c r="F158" s="216" t="s">
        <v>20</v>
      </c>
      <c r="G158" s="216">
        <v>4.9000000000000004</v>
      </c>
      <c r="H158" s="233">
        <v>19.002479999999998</v>
      </c>
      <c r="I158" s="233">
        <f t="shared" si="34"/>
        <v>9.5012399999999997E-2</v>
      </c>
      <c r="J158" s="233">
        <v>0</v>
      </c>
      <c r="K158" s="233">
        <f>(30+44+9+13)*1000/1000000</f>
        <v>9.6000000000000002E-2</v>
      </c>
      <c r="L158" s="233">
        <f t="shared" si="35"/>
        <v>1.6152108000000001</v>
      </c>
      <c r="M158" s="237">
        <v>0</v>
      </c>
      <c r="N158" s="233">
        <f>(500+762+143+211)*1000/1000000</f>
        <v>1.6160000000000001</v>
      </c>
      <c r="O158" s="233">
        <f t="shared" si="27"/>
        <v>1.7102232000000002</v>
      </c>
      <c r="P158" s="233">
        <f t="shared" si="36"/>
        <v>1.7120000000000002</v>
      </c>
      <c r="Q158" s="233">
        <f t="shared" si="33"/>
        <v>-1.7768000000000228E-3</v>
      </c>
      <c r="R158" s="217" t="s">
        <v>284</v>
      </c>
      <c r="S158" s="216" t="s">
        <v>980</v>
      </c>
      <c r="T158" s="243" t="s">
        <v>282</v>
      </c>
      <c r="U158" s="243" t="s">
        <v>310</v>
      </c>
      <c r="V158" s="243"/>
    </row>
    <row r="159" spans="1:22" s="244" customFormat="1" ht="86.45" customHeight="1" x14ac:dyDescent="0.75">
      <c r="A159" s="332"/>
      <c r="B159" s="326"/>
      <c r="C159" s="332"/>
      <c r="D159" s="348"/>
      <c r="E159" s="260" t="s">
        <v>1377</v>
      </c>
      <c r="F159" s="254" t="s">
        <v>20</v>
      </c>
      <c r="G159" s="254">
        <v>4.9000000000000004</v>
      </c>
      <c r="H159" s="255">
        <v>19.002479999999998</v>
      </c>
      <c r="I159" s="255">
        <f t="shared" ref="I159" si="37">+H159*0.005</f>
        <v>9.5012399999999997E-2</v>
      </c>
      <c r="J159" s="255">
        <v>0</v>
      </c>
      <c r="K159" s="255">
        <f>(30+44+9+13)*1000/1000000</f>
        <v>9.6000000000000002E-2</v>
      </c>
      <c r="L159" s="255">
        <f t="shared" ref="L159" si="38">+H159*(8.5/100)</f>
        <v>1.6152108000000001</v>
      </c>
      <c r="M159" s="256">
        <v>0</v>
      </c>
      <c r="N159" s="255">
        <f>(500+762+143+211)*1000/1000000</f>
        <v>1.6160000000000001</v>
      </c>
      <c r="O159" s="255">
        <f t="shared" ref="O159" si="39">+I159+L159</f>
        <v>1.7102232000000002</v>
      </c>
      <c r="P159" s="255">
        <f t="shared" ref="P159" si="40">+((J159+K159)+(M159+N159))</f>
        <v>1.7120000000000002</v>
      </c>
      <c r="Q159" s="255">
        <f t="shared" ref="Q159" si="41">+O159-P159</f>
        <v>-1.7768000000000228E-3</v>
      </c>
      <c r="R159" s="258"/>
      <c r="S159" s="254"/>
      <c r="T159" s="243"/>
      <c r="U159" s="243"/>
      <c r="V159" s="243"/>
    </row>
    <row r="160" spans="1:22" ht="86.45" customHeight="1" x14ac:dyDescent="0.75">
      <c r="A160" s="333">
        <v>65</v>
      </c>
      <c r="B160" s="353" t="s">
        <v>577</v>
      </c>
      <c r="C160" s="333" t="s">
        <v>511</v>
      </c>
      <c r="D160" s="354">
        <v>36249006011</v>
      </c>
      <c r="E160" s="221"/>
      <c r="F160" s="216" t="s">
        <v>18</v>
      </c>
      <c r="G160" s="216">
        <v>1.7</v>
      </c>
      <c r="H160" s="233">
        <v>14.897411999999999</v>
      </c>
      <c r="I160" s="233">
        <f t="shared" si="34"/>
        <v>7.4487059999999994E-2</v>
      </c>
      <c r="J160" s="233">
        <v>0</v>
      </c>
      <c r="K160" s="233">
        <f>(3+57)*1000/1000000</f>
        <v>0.06</v>
      </c>
      <c r="L160" s="233">
        <f t="shared" si="35"/>
        <v>1.26628002</v>
      </c>
      <c r="M160" s="237">
        <v>0</v>
      </c>
      <c r="N160" s="233">
        <f>((406+50+570)*1000/1000000)</f>
        <v>1.026</v>
      </c>
      <c r="O160" s="233">
        <f t="shared" si="27"/>
        <v>1.34076708</v>
      </c>
      <c r="P160" s="233">
        <f t="shared" si="36"/>
        <v>1.0860000000000001</v>
      </c>
      <c r="Q160" s="233">
        <f t="shared" si="33"/>
        <v>0.25476707999999992</v>
      </c>
      <c r="R160" s="217" t="s">
        <v>284</v>
      </c>
      <c r="S160" s="216" t="s">
        <v>981</v>
      </c>
      <c r="T160" s="222" t="s">
        <v>282</v>
      </c>
      <c r="U160" s="222" t="s">
        <v>283</v>
      </c>
      <c r="V160" s="222"/>
    </row>
    <row r="161" spans="1:30" ht="86.45" customHeight="1" x14ac:dyDescent="0.75">
      <c r="A161" s="333"/>
      <c r="B161" s="353"/>
      <c r="C161" s="333"/>
      <c r="D161" s="354"/>
      <c r="E161" s="221"/>
      <c r="F161" s="216" t="s">
        <v>20</v>
      </c>
      <c r="G161" s="216">
        <v>1.7</v>
      </c>
      <c r="H161" s="233">
        <v>13.691433999999999</v>
      </c>
      <c r="I161" s="233">
        <f t="shared" si="34"/>
        <v>6.8457169999999998E-2</v>
      </c>
      <c r="J161" s="233">
        <v>0</v>
      </c>
      <c r="K161" s="233">
        <v>0</v>
      </c>
      <c r="L161" s="233">
        <f t="shared" si="35"/>
        <v>1.16377189</v>
      </c>
      <c r="M161" s="237">
        <v>0</v>
      </c>
      <c r="N161" s="233">
        <v>0</v>
      </c>
      <c r="O161" s="233">
        <f t="shared" si="27"/>
        <v>1.2322290600000001</v>
      </c>
      <c r="P161" s="233">
        <f t="shared" si="36"/>
        <v>0</v>
      </c>
      <c r="Q161" s="233">
        <f t="shared" si="33"/>
        <v>1.2322290600000001</v>
      </c>
      <c r="R161" s="217" t="s">
        <v>19</v>
      </c>
      <c r="S161" s="216" t="s">
        <v>449</v>
      </c>
      <c r="T161" s="222" t="s">
        <v>344</v>
      </c>
      <c r="U161" s="222"/>
      <c r="V161" s="222"/>
    </row>
    <row r="162" spans="1:30" ht="86.45" customHeight="1" x14ac:dyDescent="0.75">
      <c r="A162" s="216">
        <v>66</v>
      </c>
      <c r="B162" s="220" t="s">
        <v>578</v>
      </c>
      <c r="C162" s="216" t="s">
        <v>511</v>
      </c>
      <c r="D162" s="221">
        <v>162019001377</v>
      </c>
      <c r="E162" s="221" t="s">
        <v>1298</v>
      </c>
      <c r="F162" s="216" t="s">
        <v>20</v>
      </c>
      <c r="G162" s="216">
        <v>1.2</v>
      </c>
      <c r="H162" s="233">
        <v>8.2120470000000001</v>
      </c>
      <c r="I162" s="233">
        <f t="shared" si="34"/>
        <v>4.1060235E-2</v>
      </c>
      <c r="J162" s="233">
        <v>0</v>
      </c>
      <c r="K162" s="233">
        <f>((15+10+7+5+5)*1000)/1000000</f>
        <v>4.2000000000000003E-2</v>
      </c>
      <c r="L162" s="233">
        <f t="shared" si="35"/>
        <v>0.69802399500000001</v>
      </c>
      <c r="M162" s="237">
        <v>0</v>
      </c>
      <c r="N162" s="233">
        <f>((64+120+179+256+80)*1000)/1000000</f>
        <v>0.69899999999999995</v>
      </c>
      <c r="O162" s="233">
        <f t="shared" si="27"/>
        <v>0.73908423000000001</v>
      </c>
      <c r="P162" s="233">
        <f t="shared" si="36"/>
        <v>0.74099999999999999</v>
      </c>
      <c r="Q162" s="233">
        <f t="shared" si="33"/>
        <v>-1.9157699999999833E-3</v>
      </c>
      <c r="R162" s="217" t="s">
        <v>284</v>
      </c>
      <c r="S162" s="216" t="s">
        <v>982</v>
      </c>
      <c r="T162" s="222" t="s">
        <v>282</v>
      </c>
      <c r="U162" s="222" t="s">
        <v>310</v>
      </c>
      <c r="V162" s="222"/>
    </row>
    <row r="163" spans="1:30" ht="86.45" customHeight="1" x14ac:dyDescent="0.75">
      <c r="A163" s="330">
        <v>67</v>
      </c>
      <c r="B163" s="324" t="s">
        <v>579</v>
      </c>
      <c r="C163" s="330" t="s">
        <v>511</v>
      </c>
      <c r="D163" s="347">
        <v>170149001991</v>
      </c>
      <c r="E163" s="347" t="s">
        <v>1298</v>
      </c>
      <c r="F163" s="216" t="s">
        <v>18</v>
      </c>
      <c r="G163" s="216">
        <v>1.5</v>
      </c>
      <c r="H163" s="233">
        <v>6.4319389999999999</v>
      </c>
      <c r="I163" s="233">
        <f>+H163*0.005</f>
        <v>3.2159695000000002E-2</v>
      </c>
      <c r="J163" s="233">
        <v>0</v>
      </c>
      <c r="K163" s="233">
        <f>(22+6)*1000/1000000</f>
        <v>2.8000000000000001E-2</v>
      </c>
      <c r="L163" s="233">
        <f>+H163*(8.5/100)</f>
        <v>0.54671481500000008</v>
      </c>
      <c r="M163" s="237">
        <v>0</v>
      </c>
      <c r="N163" s="233">
        <f>(390+72)*1000/1000000</f>
        <v>0.46200000000000002</v>
      </c>
      <c r="O163" s="233">
        <f>+I163+L163</f>
        <v>0.57887451000000012</v>
      </c>
      <c r="P163" s="233">
        <f>+((J163+K163)+(M163+N163))</f>
        <v>0.49000000000000005</v>
      </c>
      <c r="Q163" s="233">
        <f>+O163-P163</f>
        <v>8.8874510000000073E-2</v>
      </c>
      <c r="R163" s="217" t="s">
        <v>277</v>
      </c>
      <c r="S163" s="216" t="s">
        <v>983</v>
      </c>
      <c r="T163" s="222" t="s">
        <v>282</v>
      </c>
      <c r="U163" s="222" t="s">
        <v>283</v>
      </c>
      <c r="V163" s="222"/>
    </row>
    <row r="164" spans="1:30" ht="86.45" customHeight="1" x14ac:dyDescent="0.75">
      <c r="A164" s="331"/>
      <c r="B164" s="325"/>
      <c r="C164" s="331"/>
      <c r="D164" s="349"/>
      <c r="E164" s="348"/>
      <c r="F164" s="216" t="s">
        <v>20</v>
      </c>
      <c r="G164" s="216">
        <v>2</v>
      </c>
      <c r="H164" s="233">
        <v>16.952715999999999</v>
      </c>
      <c r="I164" s="233">
        <f t="shared" si="34"/>
        <v>8.4763579999999991E-2</v>
      </c>
      <c r="J164" s="233">
        <v>0</v>
      </c>
      <c r="K164" s="233">
        <f>(4+6+6+7+5+7+12+19+7+13)*1000/1000000</f>
        <v>8.5999999999999993E-2</v>
      </c>
      <c r="L164" s="233">
        <f t="shared" si="35"/>
        <v>1.44098086</v>
      </c>
      <c r="M164" s="237">
        <v>0</v>
      </c>
      <c r="N164" s="233">
        <f>(207+112+324+199+108+91+113+106+108+74)*1000/1000000</f>
        <v>1.4419999999999999</v>
      </c>
      <c r="O164" s="233">
        <f t="shared" si="27"/>
        <v>1.52574444</v>
      </c>
      <c r="P164" s="233">
        <f t="shared" si="36"/>
        <v>1.528</v>
      </c>
      <c r="Q164" s="233">
        <f t="shared" si="33"/>
        <v>-2.2555600000000453E-3</v>
      </c>
      <c r="R164" s="217" t="s">
        <v>284</v>
      </c>
      <c r="S164" s="216" t="s">
        <v>946</v>
      </c>
      <c r="T164" s="222" t="s">
        <v>282</v>
      </c>
      <c r="U164" s="222" t="s">
        <v>310</v>
      </c>
      <c r="V164" s="222"/>
    </row>
    <row r="165" spans="1:30" ht="86.45" customHeight="1" x14ac:dyDescent="0.75">
      <c r="A165" s="331"/>
      <c r="B165" s="325"/>
      <c r="C165" s="331"/>
      <c r="D165" s="349"/>
      <c r="E165" s="364" t="s">
        <v>1308</v>
      </c>
      <c r="F165" s="254" t="s">
        <v>18</v>
      </c>
      <c r="G165" s="254">
        <v>1.5</v>
      </c>
      <c r="H165" s="255">
        <v>6.4319389999999999</v>
      </c>
      <c r="I165" s="255">
        <f>+H165*0.005</f>
        <v>3.2159695000000002E-2</v>
      </c>
      <c r="J165" s="255">
        <v>0</v>
      </c>
      <c r="K165" s="255">
        <f>(22+6)*1000/1000000</f>
        <v>2.8000000000000001E-2</v>
      </c>
      <c r="L165" s="255">
        <f>+H165*(8.5/100)</f>
        <v>0.54671481500000008</v>
      </c>
      <c r="M165" s="256">
        <v>0</v>
      </c>
      <c r="N165" s="255">
        <f>(390+72)*1000/1000000</f>
        <v>0.46200000000000002</v>
      </c>
      <c r="O165" s="255">
        <f>+I165+L165</f>
        <v>0.57887451000000012</v>
      </c>
      <c r="P165" s="255">
        <f>+((J165+K165)+(M165+N165))</f>
        <v>0.49000000000000005</v>
      </c>
      <c r="Q165" s="255">
        <f>+O165-P165</f>
        <v>8.8874510000000073E-2</v>
      </c>
      <c r="R165" s="258"/>
      <c r="S165" s="254"/>
      <c r="T165" s="222"/>
      <c r="U165" s="222"/>
      <c r="V165" s="222"/>
    </row>
    <row r="166" spans="1:30" ht="86.45" customHeight="1" x14ac:dyDescent="0.75">
      <c r="A166" s="332"/>
      <c r="B166" s="326"/>
      <c r="C166" s="332"/>
      <c r="D166" s="348"/>
      <c r="E166" s="364"/>
      <c r="F166" s="254" t="s">
        <v>20</v>
      </c>
      <c r="G166" s="254">
        <v>2</v>
      </c>
      <c r="H166" s="255">
        <v>16.952715999999999</v>
      </c>
      <c r="I166" s="255">
        <f t="shared" ref="I166" si="42">+H166*0.005</f>
        <v>8.4763579999999991E-2</v>
      </c>
      <c r="J166" s="255">
        <v>0</v>
      </c>
      <c r="K166" s="255">
        <f>(4+6+6+7+5+7+12+19+7+13)*1000/1000000</f>
        <v>8.5999999999999993E-2</v>
      </c>
      <c r="L166" s="255">
        <f t="shared" ref="L166" si="43">+H166*(8.5/100)</f>
        <v>1.44098086</v>
      </c>
      <c r="M166" s="256">
        <v>0</v>
      </c>
      <c r="N166" s="255">
        <f>(207+112+324+199+108+91+113+106+108+74)*1000/1000000</f>
        <v>1.4419999999999999</v>
      </c>
      <c r="O166" s="255">
        <f t="shared" ref="O166" si="44">+I166+L166</f>
        <v>1.52574444</v>
      </c>
      <c r="P166" s="255">
        <f t="shared" ref="P166" si="45">+((J166+K166)+(M166+N166))</f>
        <v>1.528</v>
      </c>
      <c r="Q166" s="255">
        <f t="shared" ref="Q166" si="46">+O166-P166</f>
        <v>-2.2555600000000453E-3</v>
      </c>
      <c r="R166" s="258"/>
      <c r="S166" s="254"/>
      <c r="T166" s="222"/>
      <c r="U166" s="222"/>
      <c r="V166" s="222"/>
    </row>
    <row r="167" spans="1:30" ht="86.45" customHeight="1" x14ac:dyDescent="0.75">
      <c r="A167" s="330">
        <v>68</v>
      </c>
      <c r="B167" s="324" t="s">
        <v>580</v>
      </c>
      <c r="C167" s="330" t="s">
        <v>511</v>
      </c>
      <c r="D167" s="347">
        <v>28619020181</v>
      </c>
      <c r="E167" s="347" t="s">
        <v>1298</v>
      </c>
      <c r="F167" s="247" t="s">
        <v>18</v>
      </c>
      <c r="G167" s="216">
        <v>1.5</v>
      </c>
      <c r="H167" s="233">
        <v>10.566129</v>
      </c>
      <c r="I167" s="233">
        <f>+H167*0.005</f>
        <v>5.2830645000000002E-2</v>
      </c>
      <c r="J167" s="233">
        <v>0</v>
      </c>
      <c r="K167" s="233">
        <f>(5+5+10+5+4+5+5+7)*1000/1000000</f>
        <v>4.5999999999999999E-2</v>
      </c>
      <c r="L167" s="233">
        <f>+H167*(8.5/100)</f>
        <v>0.89812096500000005</v>
      </c>
      <c r="M167" s="237">
        <v>0</v>
      </c>
      <c r="N167" s="233">
        <f>(89+83+172+87+69+93+84+94)*1000/1000000</f>
        <v>0.77100000000000002</v>
      </c>
      <c r="O167" s="233">
        <f>+I167+L167</f>
        <v>0.95095161000000006</v>
      </c>
      <c r="P167" s="233">
        <f>+((J167+K167)+(M167+N167))</f>
        <v>0.81700000000000006</v>
      </c>
      <c r="Q167" s="233">
        <f>+O167-P167</f>
        <v>0.13395161</v>
      </c>
      <c r="R167" s="217" t="s">
        <v>284</v>
      </c>
      <c r="S167" s="216" t="s">
        <v>984</v>
      </c>
      <c r="T167" s="219" t="s">
        <v>282</v>
      </c>
      <c r="U167" s="219" t="s">
        <v>283</v>
      </c>
      <c r="V167" s="219"/>
      <c r="W167" s="1"/>
      <c r="X167" s="1"/>
      <c r="Y167" s="1"/>
      <c r="Z167" s="1"/>
      <c r="AA167" s="1"/>
      <c r="AB167" s="1"/>
      <c r="AC167" s="1"/>
      <c r="AD167" s="1"/>
    </row>
    <row r="168" spans="1:30" ht="86.45" customHeight="1" x14ac:dyDescent="0.75">
      <c r="A168" s="331"/>
      <c r="B168" s="325"/>
      <c r="C168" s="331"/>
      <c r="D168" s="349"/>
      <c r="E168" s="348"/>
      <c r="F168" s="216" t="s">
        <v>20</v>
      </c>
      <c r="G168" s="216">
        <v>1.5</v>
      </c>
      <c r="H168" s="233">
        <v>17.320108000000001</v>
      </c>
      <c r="I168" s="233">
        <f t="shared" si="34"/>
        <v>8.6600540000000004E-2</v>
      </c>
      <c r="J168" s="233">
        <v>0</v>
      </c>
      <c r="K168" s="233">
        <f>((7+12+19+6+7+6+6+6+6)*1000)/1000000</f>
        <v>7.4999999999999997E-2</v>
      </c>
      <c r="L168" s="233">
        <f t="shared" si="35"/>
        <v>1.4722091800000001</v>
      </c>
      <c r="M168" s="237">
        <v>0</v>
      </c>
      <c r="N168" s="233">
        <f>((108+208+320+103+108+109+102+107+106)*1000)/1000000</f>
        <v>1.2709999999999999</v>
      </c>
      <c r="O168" s="233">
        <f t="shared" si="27"/>
        <v>1.5588097200000002</v>
      </c>
      <c r="P168" s="233">
        <f t="shared" si="36"/>
        <v>1.3459999999999999</v>
      </c>
      <c r="Q168" s="233">
        <f t="shared" si="33"/>
        <v>0.21280972000000031</v>
      </c>
      <c r="R168" s="217" t="s">
        <v>284</v>
      </c>
      <c r="S168" s="216" t="s">
        <v>985</v>
      </c>
      <c r="T168" s="222" t="s">
        <v>282</v>
      </c>
      <c r="U168" s="222" t="s">
        <v>283</v>
      </c>
      <c r="V168" s="222"/>
    </row>
    <row r="169" spans="1:30" ht="86.45" customHeight="1" x14ac:dyDescent="0.75">
      <c r="A169" s="331"/>
      <c r="B169" s="325"/>
      <c r="C169" s="331"/>
      <c r="D169" s="349"/>
      <c r="E169" s="350" t="s">
        <v>1308</v>
      </c>
      <c r="F169" s="262" t="s">
        <v>18</v>
      </c>
      <c r="G169" s="254">
        <v>1.5</v>
      </c>
      <c r="H169" s="255">
        <v>9.0660000000000007</v>
      </c>
      <c r="I169" s="255">
        <v>4.4999999999999998E-2</v>
      </c>
      <c r="J169" s="255">
        <v>4.5999999999999999E-2</v>
      </c>
      <c r="K169" s="255">
        <v>0</v>
      </c>
      <c r="L169" s="255">
        <v>0.77100000000000002</v>
      </c>
      <c r="M169" s="255">
        <v>0.77100000000000002</v>
      </c>
      <c r="N169" s="255">
        <v>0</v>
      </c>
      <c r="O169" s="255">
        <f>+I169+L169</f>
        <v>0.81600000000000006</v>
      </c>
      <c r="P169" s="255">
        <f t="shared" si="36"/>
        <v>0.81700000000000006</v>
      </c>
      <c r="Q169" s="255">
        <v>-1E-3</v>
      </c>
      <c r="R169" s="258"/>
      <c r="S169" s="254"/>
      <c r="T169" s="222"/>
      <c r="U169" s="222"/>
      <c r="V169" s="222"/>
    </row>
    <row r="170" spans="1:30" ht="86.45" customHeight="1" x14ac:dyDescent="0.75">
      <c r="A170" s="332"/>
      <c r="B170" s="326"/>
      <c r="C170" s="332"/>
      <c r="D170" s="348"/>
      <c r="E170" s="352"/>
      <c r="F170" s="259" t="s">
        <v>20</v>
      </c>
      <c r="G170" s="254">
        <v>1.5</v>
      </c>
      <c r="H170" s="255">
        <v>14.952</v>
      </c>
      <c r="I170" s="255">
        <v>7.4999999999999997E-2</v>
      </c>
      <c r="J170" s="255">
        <v>7.4999999999999997E-2</v>
      </c>
      <c r="K170" s="255">
        <v>0</v>
      </c>
      <c r="L170" s="255">
        <v>1.2709999999999999</v>
      </c>
      <c r="M170" s="256">
        <v>1.2709999999999999</v>
      </c>
      <c r="N170" s="255">
        <v>0</v>
      </c>
      <c r="O170" s="255">
        <f t="shared" si="27"/>
        <v>1.3459999999999999</v>
      </c>
      <c r="P170" s="255">
        <f t="shared" si="36"/>
        <v>1.3459999999999999</v>
      </c>
      <c r="Q170" s="255">
        <v>0</v>
      </c>
      <c r="R170" s="258"/>
      <c r="S170" s="254"/>
      <c r="T170" s="222"/>
      <c r="U170" s="222"/>
      <c r="V170" s="222"/>
    </row>
    <row r="171" spans="1:30" ht="86.45" customHeight="1" x14ac:dyDescent="0.75">
      <c r="A171" s="330">
        <v>69</v>
      </c>
      <c r="B171" s="324" t="s">
        <v>780</v>
      </c>
      <c r="C171" s="330" t="s">
        <v>511</v>
      </c>
      <c r="D171" s="347">
        <v>181209042640</v>
      </c>
      <c r="E171" s="354" t="s">
        <v>1298</v>
      </c>
      <c r="F171" s="216" t="s">
        <v>18</v>
      </c>
      <c r="G171" s="216">
        <v>2.7</v>
      </c>
      <c r="H171" s="233">
        <v>16.588861999999999</v>
      </c>
      <c r="I171" s="233">
        <f>+H171*0.005</f>
        <v>8.2944309999999993E-2</v>
      </c>
      <c r="J171" s="233">
        <v>0</v>
      </c>
      <c r="K171" s="233">
        <v>0</v>
      </c>
      <c r="L171" s="233">
        <f>+H171*(8.5/100)</f>
        <v>1.4100532699999999</v>
      </c>
      <c r="M171" s="237">
        <v>0</v>
      </c>
      <c r="N171" s="233">
        <v>0</v>
      </c>
      <c r="O171" s="233">
        <f>+I171+L171</f>
        <v>1.4929975799999999</v>
      </c>
      <c r="P171" s="233">
        <f>+((J171+K171)+(M171+N171))</f>
        <v>0</v>
      </c>
      <c r="Q171" s="233">
        <f>+O171-P171</f>
        <v>1.4929975799999999</v>
      </c>
      <c r="R171" s="217" t="s">
        <v>19</v>
      </c>
      <c r="S171" s="216" t="s">
        <v>346</v>
      </c>
      <c r="T171" s="222" t="s">
        <v>344</v>
      </c>
      <c r="U171" s="222"/>
      <c r="V171" s="222"/>
    </row>
    <row r="172" spans="1:30" ht="86.45" customHeight="1" x14ac:dyDescent="0.75">
      <c r="A172" s="331"/>
      <c r="B172" s="325"/>
      <c r="C172" s="331"/>
      <c r="D172" s="349"/>
      <c r="E172" s="354"/>
      <c r="F172" s="216" t="s">
        <v>20</v>
      </c>
      <c r="G172" s="216">
        <v>2.75</v>
      </c>
      <c r="H172" s="233">
        <v>18.440054</v>
      </c>
      <c r="I172" s="233">
        <f t="shared" si="34"/>
        <v>9.2200270000000001E-2</v>
      </c>
      <c r="J172" s="233">
        <v>0</v>
      </c>
      <c r="K172" s="233">
        <v>0</v>
      </c>
      <c r="L172" s="233">
        <f t="shared" si="35"/>
        <v>1.5674045900000002</v>
      </c>
      <c r="M172" s="237">
        <v>0</v>
      </c>
      <c r="N172" s="233">
        <v>0</v>
      </c>
      <c r="O172" s="233">
        <f t="shared" ref="O172:O267" si="47">+I172+L172</f>
        <v>1.6596048600000002</v>
      </c>
      <c r="P172" s="233">
        <f t="shared" si="36"/>
        <v>0</v>
      </c>
      <c r="Q172" s="233">
        <f t="shared" ref="Q172:Q222" si="48">+O172-P172</f>
        <v>1.6596048600000002</v>
      </c>
      <c r="R172" s="217" t="s">
        <v>19</v>
      </c>
      <c r="S172" s="216" t="s">
        <v>449</v>
      </c>
      <c r="T172" s="222" t="s">
        <v>344</v>
      </c>
      <c r="U172" s="222"/>
      <c r="V172" s="222"/>
    </row>
    <row r="173" spans="1:30" ht="86.45" customHeight="1" x14ac:dyDescent="0.75">
      <c r="A173" s="331"/>
      <c r="B173" s="325"/>
      <c r="C173" s="331"/>
      <c r="D173" s="349"/>
      <c r="E173" s="364" t="s">
        <v>1378</v>
      </c>
      <c r="F173" s="254" t="s">
        <v>18</v>
      </c>
      <c r="G173" s="364" t="s">
        <v>1379</v>
      </c>
      <c r="H173" s="364"/>
      <c r="I173" s="364"/>
      <c r="J173" s="364"/>
      <c r="K173" s="364"/>
      <c r="L173" s="364"/>
      <c r="M173" s="364"/>
      <c r="N173" s="364"/>
      <c r="O173" s="364"/>
      <c r="P173" s="364"/>
      <c r="Q173" s="364"/>
      <c r="R173" s="364"/>
      <c r="S173" s="364"/>
      <c r="T173" s="222"/>
      <c r="U173" s="222"/>
      <c r="V173" s="222"/>
    </row>
    <row r="174" spans="1:30" ht="86.45" customHeight="1" x14ac:dyDescent="0.75">
      <c r="A174" s="332"/>
      <c r="B174" s="326"/>
      <c r="C174" s="332"/>
      <c r="D174" s="348"/>
      <c r="E174" s="364"/>
      <c r="F174" s="254" t="s">
        <v>20</v>
      </c>
      <c r="G174" s="364"/>
      <c r="H174" s="364"/>
      <c r="I174" s="364"/>
      <c r="J174" s="364"/>
      <c r="K174" s="364"/>
      <c r="L174" s="364"/>
      <c r="M174" s="364"/>
      <c r="N174" s="364"/>
      <c r="O174" s="364"/>
      <c r="P174" s="364"/>
      <c r="Q174" s="364"/>
      <c r="R174" s="364"/>
      <c r="S174" s="364"/>
      <c r="T174" s="222"/>
      <c r="U174" s="222"/>
      <c r="V174" s="222"/>
    </row>
    <row r="175" spans="1:30" ht="86.45" customHeight="1" x14ac:dyDescent="0.75">
      <c r="A175" s="330">
        <v>70</v>
      </c>
      <c r="B175" s="324" t="s">
        <v>781</v>
      </c>
      <c r="C175" s="330" t="s">
        <v>511</v>
      </c>
      <c r="D175" s="347">
        <v>28619021110</v>
      </c>
      <c r="E175" s="347" t="s">
        <v>1298</v>
      </c>
      <c r="F175" s="216" t="s">
        <v>18</v>
      </c>
      <c r="G175" s="216">
        <v>1</v>
      </c>
      <c r="H175" s="233">
        <v>9.7448429999999995</v>
      </c>
      <c r="I175" s="233">
        <f>+H175*0.005</f>
        <v>4.8724215000000001E-2</v>
      </c>
      <c r="J175" s="233">
        <v>0</v>
      </c>
      <c r="K175" s="233">
        <f>(3+4+3+4+3+7+3+4+4+3+4)*1000/1000000</f>
        <v>4.2000000000000003E-2</v>
      </c>
      <c r="L175" s="233">
        <f>+H175*(8.5/100)</f>
        <v>0.82831165500000004</v>
      </c>
      <c r="M175" s="237">
        <v>0</v>
      </c>
      <c r="N175" s="233">
        <f>(61+61+61+63+57+111+60+63+60+56+60)*1000/1000000</f>
        <v>0.71299999999999997</v>
      </c>
      <c r="O175" s="233">
        <f>+I175+L175</f>
        <v>0.87703587000000005</v>
      </c>
      <c r="P175" s="233">
        <f>+((J175+K175)+(M175+N175))</f>
        <v>0.755</v>
      </c>
      <c r="Q175" s="233">
        <f>+O175-P175</f>
        <v>0.12203587000000005</v>
      </c>
      <c r="R175" s="217" t="s">
        <v>277</v>
      </c>
      <c r="S175" s="216" t="s">
        <v>936</v>
      </c>
      <c r="T175" s="222" t="s">
        <v>282</v>
      </c>
      <c r="U175" s="222" t="s">
        <v>283</v>
      </c>
      <c r="V175" s="222"/>
    </row>
    <row r="176" spans="1:30" ht="86.45" customHeight="1" x14ac:dyDescent="0.75">
      <c r="A176" s="331"/>
      <c r="B176" s="325"/>
      <c r="C176" s="331"/>
      <c r="D176" s="349"/>
      <c r="E176" s="348"/>
      <c r="F176" s="216" t="s">
        <v>20</v>
      </c>
      <c r="G176" s="216">
        <v>1</v>
      </c>
      <c r="H176" s="233">
        <v>10.523432</v>
      </c>
      <c r="I176" s="233">
        <f t="shared" si="34"/>
        <v>5.2617159999999996E-2</v>
      </c>
      <c r="J176" s="233">
        <v>0</v>
      </c>
      <c r="K176" s="233">
        <f>((34+7+5)*1000)/1000000</f>
        <v>4.5999999999999999E-2</v>
      </c>
      <c r="L176" s="233">
        <f t="shared" si="35"/>
        <v>0.89449171999999999</v>
      </c>
      <c r="M176" s="237">
        <v>0</v>
      </c>
      <c r="N176" s="233">
        <f>((586+127+59)*1000)/1000000</f>
        <v>0.77200000000000002</v>
      </c>
      <c r="O176" s="233">
        <f t="shared" si="47"/>
        <v>0.94710888000000004</v>
      </c>
      <c r="P176" s="233">
        <f t="shared" si="36"/>
        <v>0.81800000000000006</v>
      </c>
      <c r="Q176" s="233">
        <f t="shared" si="48"/>
        <v>0.12910887999999998</v>
      </c>
      <c r="R176" s="217" t="s">
        <v>284</v>
      </c>
      <c r="S176" s="216" t="s">
        <v>986</v>
      </c>
      <c r="T176" s="222" t="s">
        <v>282</v>
      </c>
      <c r="U176" s="222" t="s">
        <v>283</v>
      </c>
      <c r="V176" s="222" t="s">
        <v>359</v>
      </c>
    </row>
    <row r="177" spans="1:30" ht="86.45" customHeight="1" x14ac:dyDescent="0.75">
      <c r="A177" s="331"/>
      <c r="B177" s="325"/>
      <c r="C177" s="331"/>
      <c r="D177" s="349"/>
      <c r="E177" s="350" t="s">
        <v>1337</v>
      </c>
      <c r="F177" s="254" t="s">
        <v>18</v>
      </c>
      <c r="G177" s="254">
        <v>4</v>
      </c>
      <c r="H177" s="255">
        <v>8.3785679999999996</v>
      </c>
      <c r="I177" s="255">
        <v>4.1893E-2</v>
      </c>
      <c r="J177" s="255">
        <v>0</v>
      </c>
      <c r="K177" s="255">
        <v>4.2000000000000003E-2</v>
      </c>
      <c r="L177" s="255">
        <v>0.71217799999999998</v>
      </c>
      <c r="M177" s="256">
        <v>0</v>
      </c>
      <c r="N177" s="255">
        <v>0.71299999999999997</v>
      </c>
      <c r="O177" s="255">
        <f t="shared" si="47"/>
        <v>0.75407099999999994</v>
      </c>
      <c r="P177" s="255">
        <f t="shared" si="36"/>
        <v>0.755</v>
      </c>
      <c r="Q177" s="255">
        <f t="shared" si="48"/>
        <v>-9.2900000000006866E-4</v>
      </c>
      <c r="R177" s="258"/>
      <c r="S177" s="254"/>
      <c r="T177" s="222"/>
      <c r="U177" s="222"/>
      <c r="V177" s="222"/>
    </row>
    <row r="178" spans="1:30" ht="86.45" customHeight="1" x14ac:dyDescent="0.75">
      <c r="A178" s="331"/>
      <c r="B178" s="325"/>
      <c r="C178" s="331"/>
      <c r="D178" s="349"/>
      <c r="E178" s="351"/>
      <c r="F178" s="254" t="s">
        <v>20</v>
      </c>
      <c r="G178" s="254">
        <v>4</v>
      </c>
      <c r="H178" s="255">
        <v>9.0793689999999998</v>
      </c>
      <c r="I178" s="255">
        <v>4.5395999999999999E-2</v>
      </c>
      <c r="J178" s="255">
        <v>0</v>
      </c>
      <c r="K178" s="255">
        <v>4.5999999999999999E-2</v>
      </c>
      <c r="L178" s="255">
        <v>0.77173899999999995</v>
      </c>
      <c r="M178" s="256">
        <v>0</v>
      </c>
      <c r="N178" s="255">
        <v>0.77200000000000002</v>
      </c>
      <c r="O178" s="255">
        <f t="shared" si="47"/>
        <v>0.81713499999999994</v>
      </c>
      <c r="P178" s="255">
        <f t="shared" si="36"/>
        <v>0.81800000000000006</v>
      </c>
      <c r="Q178" s="255">
        <f t="shared" si="48"/>
        <v>-8.6500000000011568E-4</v>
      </c>
      <c r="R178" s="258"/>
      <c r="S178" s="254"/>
      <c r="T178" s="222"/>
      <c r="U178" s="222"/>
      <c r="V178" s="222"/>
    </row>
    <row r="179" spans="1:30" ht="86.45" customHeight="1" x14ac:dyDescent="0.75">
      <c r="A179" s="333">
        <v>71</v>
      </c>
      <c r="B179" s="353" t="s">
        <v>581</v>
      </c>
      <c r="C179" s="333" t="s">
        <v>511</v>
      </c>
      <c r="D179" s="354">
        <v>170149002661</v>
      </c>
      <c r="E179" s="221"/>
      <c r="F179" s="216" t="s">
        <v>18</v>
      </c>
      <c r="G179" s="216">
        <v>1</v>
      </c>
      <c r="H179" s="233">
        <v>1.52251</v>
      </c>
      <c r="I179" s="233">
        <f t="shared" si="34"/>
        <v>7.61255E-3</v>
      </c>
      <c r="J179" s="233">
        <v>0</v>
      </c>
      <c r="K179" s="233">
        <v>0</v>
      </c>
      <c r="L179" s="233">
        <f t="shared" si="35"/>
        <v>0.12941335000000001</v>
      </c>
      <c r="M179" s="237">
        <v>0</v>
      </c>
      <c r="N179" s="233">
        <v>0</v>
      </c>
      <c r="O179" s="233">
        <f t="shared" si="47"/>
        <v>0.13702590000000001</v>
      </c>
      <c r="P179" s="233">
        <f t="shared" si="36"/>
        <v>0</v>
      </c>
      <c r="Q179" s="233">
        <f t="shared" si="48"/>
        <v>0.13702590000000001</v>
      </c>
      <c r="R179" s="217" t="s">
        <v>19</v>
      </c>
      <c r="S179" s="216" t="s">
        <v>346</v>
      </c>
      <c r="T179" s="222" t="s">
        <v>344</v>
      </c>
      <c r="U179" s="222"/>
      <c r="V179" s="222"/>
    </row>
    <row r="180" spans="1:30" ht="86.45" customHeight="1" x14ac:dyDescent="0.75">
      <c r="A180" s="333"/>
      <c r="B180" s="353"/>
      <c r="C180" s="333"/>
      <c r="D180" s="354"/>
      <c r="E180" s="221"/>
      <c r="F180" s="216" t="s">
        <v>20</v>
      </c>
      <c r="G180" s="216">
        <v>2.16</v>
      </c>
      <c r="H180" s="233">
        <v>9.8680679999999992</v>
      </c>
      <c r="I180" s="233">
        <f>+H180*0.005</f>
        <v>4.9340339999999996E-2</v>
      </c>
      <c r="J180" s="233">
        <v>0</v>
      </c>
      <c r="K180" s="233">
        <f>(50)*1000/1000000</f>
        <v>0.05</v>
      </c>
      <c r="L180" s="233">
        <f>+H180*(8.5/100)</f>
        <v>0.83878578000000004</v>
      </c>
      <c r="M180" s="237">
        <v>0</v>
      </c>
      <c r="N180" s="233">
        <f>(825)*1000/1000000</f>
        <v>0.82499999999999996</v>
      </c>
      <c r="O180" s="233">
        <f>+I180+L180</f>
        <v>0.88812612000000002</v>
      </c>
      <c r="P180" s="233">
        <f>+((J180+K180)+(M180+N180))</f>
        <v>0.875</v>
      </c>
      <c r="Q180" s="233">
        <f>+O180-P180</f>
        <v>1.3126120000000019E-2</v>
      </c>
      <c r="R180" s="217" t="s">
        <v>284</v>
      </c>
      <c r="S180" s="216" t="s">
        <v>987</v>
      </c>
      <c r="T180" s="222" t="s">
        <v>282</v>
      </c>
      <c r="U180" s="222" t="s">
        <v>283</v>
      </c>
      <c r="V180" s="222"/>
    </row>
    <row r="181" spans="1:30" ht="86.45" customHeight="1" x14ac:dyDescent="0.75">
      <c r="A181" s="333">
        <v>72</v>
      </c>
      <c r="B181" s="353" t="s">
        <v>582</v>
      </c>
      <c r="C181" s="333" t="s">
        <v>511</v>
      </c>
      <c r="D181" s="354">
        <v>193019007441</v>
      </c>
      <c r="E181" s="221"/>
      <c r="F181" s="216" t="s">
        <v>18</v>
      </c>
      <c r="G181" s="216">
        <v>1.8</v>
      </c>
      <c r="H181" s="233">
        <v>1.287768</v>
      </c>
      <c r="I181" s="233">
        <f>+H181*0.005</f>
        <v>6.4388400000000004E-3</v>
      </c>
      <c r="J181" s="233">
        <v>0</v>
      </c>
      <c r="K181" s="233">
        <v>0</v>
      </c>
      <c r="L181" s="233">
        <f>+H181*(8.5/100)</f>
        <v>0.10946028000000001</v>
      </c>
      <c r="M181" s="237">
        <v>0</v>
      </c>
      <c r="N181" s="233">
        <v>0</v>
      </c>
      <c r="O181" s="233">
        <f>+I181+L181</f>
        <v>0.11589912000000001</v>
      </c>
      <c r="P181" s="233">
        <f>+((J181+K181)+(M181+N181))</f>
        <v>0</v>
      </c>
      <c r="Q181" s="233">
        <f>+O181-P181</f>
        <v>0.11589912000000001</v>
      </c>
      <c r="R181" s="217" t="s">
        <v>19</v>
      </c>
      <c r="S181" s="216" t="s">
        <v>346</v>
      </c>
      <c r="T181" s="222" t="s">
        <v>344</v>
      </c>
      <c r="U181" s="222"/>
      <c r="V181" s="222"/>
    </row>
    <row r="182" spans="1:30" ht="86.45" customHeight="1" x14ac:dyDescent="0.75">
      <c r="A182" s="333"/>
      <c r="B182" s="353"/>
      <c r="C182" s="333"/>
      <c r="D182" s="354"/>
      <c r="E182" s="221"/>
      <c r="F182" s="216" t="s">
        <v>20</v>
      </c>
      <c r="G182" s="216">
        <v>3</v>
      </c>
      <c r="H182" s="233">
        <v>15.647057999999999</v>
      </c>
      <c r="I182" s="233">
        <f t="shared" si="34"/>
        <v>7.8235289999999999E-2</v>
      </c>
      <c r="J182" s="233">
        <v>0</v>
      </c>
      <c r="K182" s="233">
        <f>(80)*1000/1000000</f>
        <v>0.08</v>
      </c>
      <c r="L182" s="233">
        <f t="shared" si="35"/>
        <v>1.3299999300000001</v>
      </c>
      <c r="M182" s="237">
        <v>0</v>
      </c>
      <c r="N182" s="233">
        <f>(1345)*1000/1000000</f>
        <v>1.345</v>
      </c>
      <c r="O182" s="233">
        <f t="shared" si="47"/>
        <v>1.4082352200000001</v>
      </c>
      <c r="P182" s="233">
        <f t="shared" si="36"/>
        <v>1.425</v>
      </c>
      <c r="Q182" s="233">
        <f t="shared" si="48"/>
        <v>-1.6764779999999924E-2</v>
      </c>
      <c r="R182" s="217" t="s">
        <v>284</v>
      </c>
      <c r="S182" s="216" t="s">
        <v>987</v>
      </c>
      <c r="T182" s="222" t="s">
        <v>282</v>
      </c>
      <c r="U182" s="222" t="s">
        <v>310</v>
      </c>
      <c r="V182" s="222"/>
    </row>
    <row r="183" spans="1:30" s="244" customFormat="1" ht="86.45" customHeight="1" x14ac:dyDescent="0.75">
      <c r="A183" s="330">
        <v>73</v>
      </c>
      <c r="B183" s="324" t="s">
        <v>583</v>
      </c>
      <c r="C183" s="330" t="s">
        <v>511</v>
      </c>
      <c r="D183" s="347">
        <v>20129003287</v>
      </c>
      <c r="E183" s="221" t="s">
        <v>1298</v>
      </c>
      <c r="F183" s="216" t="s">
        <v>20</v>
      </c>
      <c r="G183" s="216">
        <v>3.5</v>
      </c>
      <c r="H183" s="233">
        <v>1.91648</v>
      </c>
      <c r="I183" s="233">
        <f t="shared" si="34"/>
        <v>9.5823999999999996E-3</v>
      </c>
      <c r="J183" s="233">
        <v>0</v>
      </c>
      <c r="K183" s="233">
        <f>(7+2)*1000/1000000</f>
        <v>8.9999999999999993E-3</v>
      </c>
      <c r="L183" s="233">
        <f t="shared" si="35"/>
        <v>0.16290080000000001</v>
      </c>
      <c r="M183" s="237">
        <v>0</v>
      </c>
      <c r="N183" s="233">
        <f>(101+40)*1000/1000000</f>
        <v>0.14099999999999999</v>
      </c>
      <c r="O183" s="233">
        <f t="shared" si="47"/>
        <v>0.1724832</v>
      </c>
      <c r="P183" s="233">
        <f t="shared" si="36"/>
        <v>0.15</v>
      </c>
      <c r="Q183" s="233">
        <f t="shared" si="48"/>
        <v>2.2483200000000009E-2</v>
      </c>
      <c r="R183" s="217" t="s">
        <v>284</v>
      </c>
      <c r="S183" s="216" t="s">
        <v>987</v>
      </c>
      <c r="T183" s="243" t="s">
        <v>282</v>
      </c>
      <c r="U183" s="243" t="s">
        <v>283</v>
      </c>
      <c r="V183" s="243"/>
    </row>
    <row r="184" spans="1:30" s="244" customFormat="1" ht="86.45" customHeight="1" x14ac:dyDescent="0.75">
      <c r="A184" s="332"/>
      <c r="B184" s="326"/>
      <c r="C184" s="332"/>
      <c r="D184" s="348"/>
      <c r="E184" s="260" t="s">
        <v>1319</v>
      </c>
      <c r="F184" s="254" t="s">
        <v>20</v>
      </c>
      <c r="G184" s="254">
        <v>3.5</v>
      </c>
      <c r="H184" s="255">
        <v>1.654711</v>
      </c>
      <c r="I184" s="255">
        <v>8.2740000000000001E-3</v>
      </c>
      <c r="J184" s="255">
        <v>0</v>
      </c>
      <c r="K184" s="255">
        <v>8.9999999999999993E-3</v>
      </c>
      <c r="L184" s="255">
        <v>0.14065</v>
      </c>
      <c r="M184" s="256">
        <v>0</v>
      </c>
      <c r="N184" s="255">
        <v>0.14099999999999999</v>
      </c>
      <c r="O184" s="255">
        <f t="shared" si="47"/>
        <v>0.148924</v>
      </c>
      <c r="P184" s="255">
        <f t="shared" si="36"/>
        <v>0.15</v>
      </c>
      <c r="Q184" s="255">
        <f t="shared" si="48"/>
        <v>-1.0759999999999936E-3</v>
      </c>
      <c r="R184" s="258"/>
      <c r="S184" s="254"/>
      <c r="T184" s="243"/>
      <c r="U184" s="243"/>
      <c r="V184" s="243"/>
    </row>
    <row r="185" spans="1:30" ht="112.5" customHeight="1" x14ac:dyDescent="0.75">
      <c r="A185" s="216">
        <v>74</v>
      </c>
      <c r="B185" s="220" t="s">
        <v>1282</v>
      </c>
      <c r="C185" s="216" t="s">
        <v>511</v>
      </c>
      <c r="D185" s="221">
        <v>510019000140</v>
      </c>
      <c r="E185" s="221"/>
      <c r="F185" s="216" t="s">
        <v>20</v>
      </c>
      <c r="G185" s="216">
        <v>2.7</v>
      </c>
      <c r="H185" s="233">
        <v>23.060687999999999</v>
      </c>
      <c r="I185" s="233">
        <f t="shared" si="34"/>
        <v>0.11530343999999999</v>
      </c>
      <c r="J185" s="233">
        <v>0</v>
      </c>
      <c r="K185" s="233">
        <v>0</v>
      </c>
      <c r="L185" s="233">
        <f t="shared" si="35"/>
        <v>1.96015848</v>
      </c>
      <c r="M185" s="237">
        <v>0</v>
      </c>
      <c r="N185" s="233">
        <v>0</v>
      </c>
      <c r="O185" s="233">
        <f t="shared" si="47"/>
        <v>2.07546192</v>
      </c>
      <c r="P185" s="233">
        <f t="shared" si="36"/>
        <v>0</v>
      </c>
      <c r="Q185" s="233">
        <f t="shared" si="48"/>
        <v>2.07546192</v>
      </c>
      <c r="R185" s="217" t="s">
        <v>19</v>
      </c>
      <c r="S185" s="216" t="s">
        <v>449</v>
      </c>
      <c r="T185" s="222" t="s">
        <v>344</v>
      </c>
      <c r="U185" s="222"/>
      <c r="V185" s="222"/>
    </row>
    <row r="186" spans="1:30" ht="171.75" customHeight="1" x14ac:dyDescent="0.75">
      <c r="A186" s="216">
        <v>75</v>
      </c>
      <c r="B186" s="220" t="s">
        <v>1283</v>
      </c>
      <c r="C186" s="216" t="s">
        <v>511</v>
      </c>
      <c r="D186" s="221">
        <v>510019005920</v>
      </c>
      <c r="E186" s="221"/>
      <c r="F186" s="216" t="s">
        <v>20</v>
      </c>
      <c r="G186" s="216">
        <v>2.6</v>
      </c>
      <c r="H186" s="233">
        <v>23.353238000000001</v>
      </c>
      <c r="I186" s="233">
        <f t="shared" si="34"/>
        <v>0.11676619000000001</v>
      </c>
      <c r="J186" s="233">
        <v>0</v>
      </c>
      <c r="K186" s="233">
        <v>0</v>
      </c>
      <c r="L186" s="233">
        <f t="shared" si="35"/>
        <v>1.9850252300000002</v>
      </c>
      <c r="M186" s="237">
        <v>0</v>
      </c>
      <c r="N186" s="233">
        <v>0</v>
      </c>
      <c r="O186" s="233">
        <f t="shared" si="47"/>
        <v>2.1017914200000001</v>
      </c>
      <c r="P186" s="233">
        <f t="shared" si="36"/>
        <v>0</v>
      </c>
      <c r="Q186" s="233">
        <f t="shared" si="48"/>
        <v>2.1017914200000001</v>
      </c>
      <c r="R186" s="217" t="s">
        <v>19</v>
      </c>
      <c r="S186" s="216" t="s">
        <v>29</v>
      </c>
      <c r="T186" s="222" t="s">
        <v>344</v>
      </c>
      <c r="U186" s="222"/>
      <c r="V186" s="222"/>
    </row>
    <row r="187" spans="1:30" ht="86.45" customHeight="1" x14ac:dyDescent="0.75">
      <c r="A187" s="333">
        <v>76</v>
      </c>
      <c r="B187" s="353" t="s">
        <v>586</v>
      </c>
      <c r="C187" s="333" t="s">
        <v>511</v>
      </c>
      <c r="D187" s="354">
        <v>510019001146</v>
      </c>
      <c r="E187" s="221"/>
      <c r="F187" s="216" t="s">
        <v>18</v>
      </c>
      <c r="G187" s="216">
        <v>7.6</v>
      </c>
      <c r="H187" s="233">
        <v>16.270056</v>
      </c>
      <c r="I187" s="233">
        <f>+H187*0.005</f>
        <v>8.1350279999999997E-2</v>
      </c>
      <c r="J187" s="233">
        <v>0</v>
      </c>
      <c r="K187" s="233">
        <v>6.4000000000000001E-2</v>
      </c>
      <c r="L187" s="233">
        <f>+H187*(8.5/100)</f>
        <v>1.3829547600000001</v>
      </c>
      <c r="M187" s="237">
        <v>0</v>
      </c>
      <c r="N187" s="233">
        <v>1.0960000000000001</v>
      </c>
      <c r="O187" s="233">
        <f>+I187+L187</f>
        <v>1.4643050400000002</v>
      </c>
      <c r="P187" s="233">
        <f>+((J187+K187)+(M187+N187))</f>
        <v>1.1600000000000001</v>
      </c>
      <c r="Q187" s="233">
        <f>+O187-P187</f>
        <v>0.30430504000000003</v>
      </c>
      <c r="R187" s="217" t="s">
        <v>284</v>
      </c>
      <c r="S187" s="216" t="s">
        <v>988</v>
      </c>
      <c r="T187" s="222" t="s">
        <v>282</v>
      </c>
      <c r="U187" s="222" t="s">
        <v>283</v>
      </c>
      <c r="V187" s="222"/>
    </row>
    <row r="188" spans="1:30" ht="86.45" customHeight="1" x14ac:dyDescent="0.75">
      <c r="A188" s="333"/>
      <c r="B188" s="353"/>
      <c r="C188" s="333"/>
      <c r="D188" s="354"/>
      <c r="E188" s="221"/>
      <c r="F188" s="216" t="s">
        <v>20</v>
      </c>
      <c r="G188" s="216">
        <v>7</v>
      </c>
      <c r="H188" s="233">
        <v>64.014381999999998</v>
      </c>
      <c r="I188" s="233">
        <f>+H188*0.005</f>
        <v>0.32007191000000002</v>
      </c>
      <c r="J188" s="233">
        <v>0</v>
      </c>
      <c r="K188" s="233">
        <v>0</v>
      </c>
      <c r="L188" s="233">
        <f>+H188*(8.5/100)</f>
        <v>5.4412224700000005</v>
      </c>
      <c r="M188" s="237">
        <v>0</v>
      </c>
      <c r="N188" s="233">
        <v>0</v>
      </c>
      <c r="O188" s="233">
        <f>+I188+L188</f>
        <v>5.7612943800000007</v>
      </c>
      <c r="P188" s="233">
        <f>+((J188+K188)+(M188+N188))</f>
        <v>0</v>
      </c>
      <c r="Q188" s="233">
        <f>+O188-P188</f>
        <v>5.7612943800000007</v>
      </c>
      <c r="R188" s="217" t="s">
        <v>19</v>
      </c>
      <c r="S188" s="216" t="s">
        <v>449</v>
      </c>
      <c r="T188" s="222" t="s">
        <v>344</v>
      </c>
      <c r="U188" s="222"/>
      <c r="V188" s="222"/>
    </row>
    <row r="189" spans="1:30" ht="86.45" customHeight="1" x14ac:dyDescent="0.75">
      <c r="A189" s="333"/>
      <c r="B189" s="353"/>
      <c r="C189" s="333"/>
      <c r="D189" s="354"/>
      <c r="E189" s="221"/>
      <c r="F189" s="216" t="s">
        <v>21</v>
      </c>
      <c r="G189" s="216">
        <v>7.5</v>
      </c>
      <c r="H189" s="233">
        <v>21.48235</v>
      </c>
      <c r="I189" s="233">
        <f>+H189*0.01</f>
        <v>0.2148235</v>
      </c>
      <c r="J189" s="233">
        <v>0</v>
      </c>
      <c r="K189" s="233">
        <v>0</v>
      </c>
      <c r="L189" s="233">
        <f>+H189*(10/100)</f>
        <v>2.1482350000000001</v>
      </c>
      <c r="M189" s="237">
        <v>0</v>
      </c>
      <c r="N189" s="233">
        <v>0</v>
      </c>
      <c r="O189" s="233">
        <f t="shared" si="47"/>
        <v>2.3630585000000002</v>
      </c>
      <c r="P189" s="233">
        <f t="shared" si="36"/>
        <v>0</v>
      </c>
      <c r="Q189" s="233">
        <f t="shared" si="48"/>
        <v>2.3630585000000002</v>
      </c>
      <c r="R189" s="217" t="s">
        <v>19</v>
      </c>
      <c r="S189" s="216" t="s">
        <v>489</v>
      </c>
      <c r="T189" s="222" t="s">
        <v>344</v>
      </c>
      <c r="U189" s="222"/>
      <c r="V189" s="222"/>
      <c r="W189" s="14"/>
      <c r="X189" s="14"/>
      <c r="Y189" s="14"/>
      <c r="Z189" s="14"/>
      <c r="AA189" s="14"/>
      <c r="AB189" s="14"/>
      <c r="AC189" s="14"/>
      <c r="AD189" s="14"/>
    </row>
    <row r="190" spans="1:30" ht="86.45" customHeight="1" x14ac:dyDescent="0.75">
      <c r="A190" s="330">
        <v>77</v>
      </c>
      <c r="B190" s="324" t="s">
        <v>782</v>
      </c>
      <c r="C190" s="330" t="s">
        <v>511</v>
      </c>
      <c r="D190" s="347">
        <v>119036670</v>
      </c>
      <c r="E190" s="347" t="s">
        <v>1298</v>
      </c>
      <c r="F190" s="216" t="s">
        <v>18</v>
      </c>
      <c r="G190" s="216">
        <v>1</v>
      </c>
      <c r="H190" s="233">
        <v>1.910873</v>
      </c>
      <c r="I190" s="233">
        <f t="shared" ref="I190:I212" si="49">+H190*0.005</f>
        <v>9.5543650000000004E-3</v>
      </c>
      <c r="J190" s="233">
        <v>0</v>
      </c>
      <c r="K190" s="233">
        <v>0</v>
      </c>
      <c r="L190" s="233">
        <f t="shared" ref="L190:L212" si="50">+H190*(8.5/100)</f>
        <v>0.16242420500000002</v>
      </c>
      <c r="M190" s="237">
        <v>0</v>
      </c>
      <c r="N190" s="233">
        <v>0</v>
      </c>
      <c r="O190" s="233">
        <f t="shared" si="47"/>
        <v>0.17197857000000003</v>
      </c>
      <c r="P190" s="233">
        <f t="shared" si="36"/>
        <v>0</v>
      </c>
      <c r="Q190" s="233">
        <f t="shared" si="48"/>
        <v>0.17197857000000003</v>
      </c>
      <c r="R190" s="217" t="s">
        <v>19</v>
      </c>
      <c r="S190" s="216" t="s">
        <v>346</v>
      </c>
      <c r="T190" s="222" t="s">
        <v>344</v>
      </c>
      <c r="U190" s="222"/>
      <c r="V190" s="222"/>
    </row>
    <row r="191" spans="1:30" ht="86.45" customHeight="1" x14ac:dyDescent="0.75">
      <c r="A191" s="331"/>
      <c r="B191" s="325"/>
      <c r="C191" s="331"/>
      <c r="D191" s="349"/>
      <c r="E191" s="348"/>
      <c r="F191" s="216" t="s">
        <v>20</v>
      </c>
      <c r="G191" s="216">
        <v>1</v>
      </c>
      <c r="H191" s="233">
        <v>7.8481800000000002</v>
      </c>
      <c r="I191" s="233">
        <f t="shared" si="49"/>
        <v>3.9240900000000002E-2</v>
      </c>
      <c r="J191" s="233">
        <v>0</v>
      </c>
      <c r="K191" s="233">
        <v>0</v>
      </c>
      <c r="L191" s="233">
        <f t="shared" si="50"/>
        <v>0.66709530000000006</v>
      </c>
      <c r="M191" s="237">
        <v>0</v>
      </c>
      <c r="N191" s="233">
        <v>0</v>
      </c>
      <c r="O191" s="233">
        <f t="shared" si="47"/>
        <v>0.70633620000000008</v>
      </c>
      <c r="P191" s="233">
        <f t="shared" si="36"/>
        <v>0</v>
      </c>
      <c r="Q191" s="233">
        <f t="shared" si="48"/>
        <v>0.70633620000000008</v>
      </c>
      <c r="R191" s="217" t="s">
        <v>19</v>
      </c>
      <c r="S191" s="216" t="s">
        <v>447</v>
      </c>
      <c r="T191" s="222" t="s">
        <v>344</v>
      </c>
      <c r="U191" s="222"/>
      <c r="V191" s="222"/>
    </row>
    <row r="192" spans="1:30" ht="86.45" customHeight="1" x14ac:dyDescent="0.75">
      <c r="A192" s="331"/>
      <c r="B192" s="325"/>
      <c r="C192" s="331"/>
      <c r="D192" s="349"/>
      <c r="E192" s="350" t="s">
        <v>1332</v>
      </c>
      <c r="F192" s="254" t="s">
        <v>18</v>
      </c>
      <c r="G192" s="254">
        <v>3.5</v>
      </c>
      <c r="H192" s="255">
        <v>1.65</v>
      </c>
      <c r="I192" s="255">
        <v>0.01</v>
      </c>
      <c r="J192" s="255">
        <v>0</v>
      </c>
      <c r="K192" s="255">
        <v>0</v>
      </c>
      <c r="L192" s="255">
        <f t="shared" si="50"/>
        <v>0.14025000000000001</v>
      </c>
      <c r="M192" s="256">
        <v>0</v>
      </c>
      <c r="N192" s="255">
        <v>0</v>
      </c>
      <c r="O192" s="255">
        <f t="shared" si="47"/>
        <v>0.15025000000000002</v>
      </c>
      <c r="P192" s="255">
        <f t="shared" si="36"/>
        <v>0</v>
      </c>
      <c r="Q192" s="255">
        <f t="shared" si="48"/>
        <v>0.15025000000000002</v>
      </c>
      <c r="R192" s="258"/>
      <c r="S192" s="254"/>
      <c r="T192" s="222"/>
      <c r="U192" s="222"/>
      <c r="V192" s="222"/>
    </row>
    <row r="193" spans="1:22" ht="86.45" customHeight="1" x14ac:dyDescent="0.75">
      <c r="A193" s="331"/>
      <c r="B193" s="325"/>
      <c r="C193" s="331"/>
      <c r="D193" s="349"/>
      <c r="E193" s="352"/>
      <c r="F193" s="254" t="s">
        <v>20</v>
      </c>
      <c r="G193" s="254">
        <v>3.5</v>
      </c>
      <c r="H193" s="255">
        <v>6.67</v>
      </c>
      <c r="I193" s="255">
        <v>0.03</v>
      </c>
      <c r="J193" s="255">
        <v>0</v>
      </c>
      <c r="K193" s="255">
        <v>4.2999999999999997E-2</v>
      </c>
      <c r="L193" s="255">
        <v>0.56999999999999995</v>
      </c>
      <c r="M193" s="256">
        <v>0</v>
      </c>
      <c r="N193" s="255">
        <v>0.71</v>
      </c>
      <c r="O193" s="255">
        <f t="shared" si="47"/>
        <v>0.6</v>
      </c>
      <c r="P193" s="255">
        <f t="shared" si="36"/>
        <v>0.753</v>
      </c>
      <c r="Q193" s="255">
        <f t="shared" si="48"/>
        <v>-0.15300000000000002</v>
      </c>
      <c r="R193" s="258"/>
      <c r="S193" s="254"/>
      <c r="T193" s="222"/>
      <c r="U193" s="222"/>
      <c r="V193" s="222"/>
    </row>
    <row r="194" spans="1:22" s="244" customFormat="1" ht="86.45" customHeight="1" x14ac:dyDescent="0.75">
      <c r="A194" s="330" t="s">
        <v>1297</v>
      </c>
      <c r="B194" s="324" t="s">
        <v>783</v>
      </c>
      <c r="C194" s="330" t="s">
        <v>511</v>
      </c>
      <c r="D194" s="347">
        <v>21529054060</v>
      </c>
      <c r="E194" s="347" t="s">
        <v>1298</v>
      </c>
      <c r="F194" s="216" t="s">
        <v>18</v>
      </c>
      <c r="G194" s="216">
        <v>1</v>
      </c>
      <c r="H194" s="233">
        <v>6.565728</v>
      </c>
      <c r="I194" s="233">
        <f t="shared" si="49"/>
        <v>3.2828639999999999E-2</v>
      </c>
      <c r="J194" s="233">
        <v>0</v>
      </c>
      <c r="K194" s="233">
        <f>(14+3+7+4)*1000/1000000</f>
        <v>2.8000000000000001E-2</v>
      </c>
      <c r="L194" s="233">
        <f t="shared" si="50"/>
        <v>0.55808688000000006</v>
      </c>
      <c r="M194" s="237">
        <v>0</v>
      </c>
      <c r="N194" s="233">
        <f>(240+63+120+63)*1000/1000000</f>
        <v>0.48599999999999999</v>
      </c>
      <c r="O194" s="233">
        <f t="shared" si="47"/>
        <v>0.59091552000000003</v>
      </c>
      <c r="P194" s="233">
        <f t="shared" si="36"/>
        <v>0.51400000000000001</v>
      </c>
      <c r="Q194" s="233">
        <f t="shared" si="48"/>
        <v>7.6915520000000015E-2</v>
      </c>
      <c r="R194" s="217" t="s">
        <v>284</v>
      </c>
      <c r="S194" s="216" t="s">
        <v>936</v>
      </c>
      <c r="T194" s="243" t="s">
        <v>282</v>
      </c>
      <c r="U194" s="243" t="s">
        <v>280</v>
      </c>
      <c r="V194" s="243"/>
    </row>
    <row r="195" spans="1:22" s="244" customFormat="1" ht="86.45" customHeight="1" x14ac:dyDescent="0.75">
      <c r="A195" s="331"/>
      <c r="B195" s="325"/>
      <c r="C195" s="331"/>
      <c r="D195" s="349"/>
      <c r="E195" s="348"/>
      <c r="F195" s="216" t="s">
        <v>20</v>
      </c>
      <c r="G195" s="216">
        <v>3.84</v>
      </c>
      <c r="H195" s="233">
        <v>12.798099000000001</v>
      </c>
      <c r="I195" s="233">
        <f t="shared" si="49"/>
        <v>6.3990495000000008E-2</v>
      </c>
      <c r="J195" s="233">
        <v>0</v>
      </c>
      <c r="K195" s="233">
        <v>0.01</v>
      </c>
      <c r="L195" s="233">
        <f t="shared" si="50"/>
        <v>1.0878384150000002</v>
      </c>
      <c r="M195" s="237">
        <v>0</v>
      </c>
      <c r="N195" s="233">
        <v>0.1089</v>
      </c>
      <c r="O195" s="233">
        <f t="shared" si="47"/>
        <v>1.1518289100000003</v>
      </c>
      <c r="P195" s="233">
        <f t="shared" si="36"/>
        <v>0.11889999999999999</v>
      </c>
      <c r="Q195" s="233">
        <f t="shared" si="48"/>
        <v>1.0329289100000003</v>
      </c>
      <c r="R195" s="217" t="s">
        <v>284</v>
      </c>
      <c r="S195" s="216" t="s">
        <v>939</v>
      </c>
      <c r="T195" s="243" t="s">
        <v>282</v>
      </c>
      <c r="U195" s="243" t="s">
        <v>283</v>
      </c>
      <c r="V195" s="243"/>
    </row>
    <row r="196" spans="1:22" s="244" customFormat="1" ht="86.45" customHeight="1" x14ac:dyDescent="0.75">
      <c r="A196" s="331"/>
      <c r="B196" s="325"/>
      <c r="C196" s="331"/>
      <c r="D196" s="349"/>
      <c r="E196" s="350" t="s">
        <v>1380</v>
      </c>
      <c r="F196" s="254" t="s">
        <v>18</v>
      </c>
      <c r="G196" s="254">
        <v>1</v>
      </c>
      <c r="H196" s="255">
        <v>5.720542</v>
      </c>
      <c r="I196" s="255">
        <f t="shared" si="49"/>
        <v>2.860271E-2</v>
      </c>
      <c r="J196" s="255">
        <v>0</v>
      </c>
      <c r="K196" s="255">
        <v>2.8000000000000001E-2</v>
      </c>
      <c r="L196" s="255">
        <f t="shared" si="50"/>
        <v>0.48624607000000003</v>
      </c>
      <c r="M196" s="256">
        <v>0</v>
      </c>
      <c r="N196" s="255">
        <v>0.48599999999999999</v>
      </c>
      <c r="O196" s="255">
        <f t="shared" si="47"/>
        <v>0.51484878000000001</v>
      </c>
      <c r="P196" s="255">
        <f t="shared" si="36"/>
        <v>0.51400000000000001</v>
      </c>
      <c r="Q196" s="255">
        <f t="shared" si="48"/>
        <v>8.4877999999999343E-4</v>
      </c>
      <c r="R196" s="258"/>
      <c r="S196" s="254"/>
      <c r="T196" s="243"/>
      <c r="U196" s="243"/>
      <c r="V196" s="243"/>
    </row>
    <row r="197" spans="1:22" s="244" customFormat="1" ht="86.45" customHeight="1" x14ac:dyDescent="0.75">
      <c r="A197" s="332"/>
      <c r="B197" s="326"/>
      <c r="C197" s="332"/>
      <c r="D197" s="348"/>
      <c r="E197" s="352"/>
      <c r="F197" s="254" t="s">
        <v>20</v>
      </c>
      <c r="G197" s="254">
        <v>3.84</v>
      </c>
      <c r="H197" s="255">
        <v>12.796511000000001</v>
      </c>
      <c r="I197" s="255">
        <v>6.3982600000000001E-2</v>
      </c>
      <c r="J197" s="255">
        <v>0</v>
      </c>
      <c r="K197" s="255">
        <v>6.5000000000000002E-2</v>
      </c>
      <c r="L197" s="255">
        <v>1.0877030000000001</v>
      </c>
      <c r="M197" s="256">
        <v>0</v>
      </c>
      <c r="N197" s="255">
        <v>1.089</v>
      </c>
      <c r="O197" s="255">
        <f t="shared" si="47"/>
        <v>1.1516856</v>
      </c>
      <c r="P197" s="255">
        <f t="shared" si="36"/>
        <v>1.1539999999999999</v>
      </c>
      <c r="Q197" s="255">
        <f t="shared" si="48"/>
        <v>-2.3143999999999387E-3</v>
      </c>
      <c r="R197" s="258"/>
      <c r="S197" s="254"/>
      <c r="T197" s="243"/>
      <c r="U197" s="243"/>
      <c r="V197" s="243"/>
    </row>
    <row r="198" spans="1:22" s="244" customFormat="1" ht="86.45" customHeight="1" x14ac:dyDescent="0.75">
      <c r="A198" s="216">
        <v>77</v>
      </c>
      <c r="B198" s="220" t="s">
        <v>1284</v>
      </c>
      <c r="C198" s="216" t="s">
        <v>511</v>
      </c>
      <c r="D198" s="221">
        <v>186849005533</v>
      </c>
      <c r="E198" s="221"/>
      <c r="F198" s="216" t="s">
        <v>20</v>
      </c>
      <c r="G198" s="216">
        <v>2.5</v>
      </c>
      <c r="H198" s="233">
        <v>19.768509000000002</v>
      </c>
      <c r="I198" s="233">
        <f t="shared" si="49"/>
        <v>9.8842545000000004E-2</v>
      </c>
      <c r="J198" s="233">
        <v>0</v>
      </c>
      <c r="K198" s="233">
        <f>(20+20+15+21+31)*1000/1000000</f>
        <v>0.107</v>
      </c>
      <c r="L198" s="233">
        <f t="shared" si="50"/>
        <v>1.6803232650000002</v>
      </c>
      <c r="M198" s="237">
        <v>0</v>
      </c>
      <c r="N198" s="233">
        <f>(200+200+500+401+559)*1000/1000000</f>
        <v>1.86</v>
      </c>
      <c r="O198" s="233">
        <f t="shared" si="47"/>
        <v>1.7791658100000003</v>
      </c>
      <c r="P198" s="233">
        <f t="shared" si="36"/>
        <v>1.9670000000000001</v>
      </c>
      <c r="Q198" s="233">
        <f t="shared" si="48"/>
        <v>-0.18783418999999979</v>
      </c>
      <c r="R198" s="217" t="s">
        <v>284</v>
      </c>
      <c r="S198" s="216" t="s">
        <v>989</v>
      </c>
      <c r="T198" s="243" t="s">
        <v>282</v>
      </c>
      <c r="U198" s="243" t="s">
        <v>310</v>
      </c>
      <c r="V198" s="243"/>
    </row>
    <row r="199" spans="1:22" ht="86.45" customHeight="1" x14ac:dyDescent="0.75">
      <c r="A199" s="216">
        <v>78</v>
      </c>
      <c r="B199" s="220" t="s">
        <v>1285</v>
      </c>
      <c r="C199" s="216" t="s">
        <v>511</v>
      </c>
      <c r="D199" s="221">
        <v>430019012120</v>
      </c>
      <c r="E199" s="221"/>
      <c r="F199" s="216" t="s">
        <v>20</v>
      </c>
      <c r="G199" s="216">
        <v>2.5</v>
      </c>
      <c r="H199" s="233">
        <v>24.141922000000001</v>
      </c>
      <c r="I199" s="233">
        <f t="shared" si="49"/>
        <v>0.12070961000000001</v>
      </c>
      <c r="J199" s="233">
        <v>0</v>
      </c>
      <c r="K199" s="233">
        <f>(20+20+35+23+33)*1000/1000000</f>
        <v>0.13100000000000001</v>
      </c>
      <c r="L199" s="233">
        <f t="shared" si="50"/>
        <v>2.0520633700000004</v>
      </c>
      <c r="M199" s="237">
        <v>0</v>
      </c>
      <c r="N199" s="233">
        <f>(200+300+800+366+537)*1000/1000000</f>
        <v>2.2029999999999998</v>
      </c>
      <c r="O199" s="233">
        <f t="shared" si="47"/>
        <v>2.1727729800000004</v>
      </c>
      <c r="P199" s="233">
        <f t="shared" si="36"/>
        <v>2.3339999999999996</v>
      </c>
      <c r="Q199" s="233">
        <f t="shared" si="48"/>
        <v>-0.16122701999999922</v>
      </c>
      <c r="R199" s="217" t="s">
        <v>292</v>
      </c>
      <c r="S199" s="216" t="s">
        <v>990</v>
      </c>
      <c r="T199" s="222" t="s">
        <v>282</v>
      </c>
      <c r="U199" s="222" t="s">
        <v>310</v>
      </c>
      <c r="V199" s="222"/>
    </row>
    <row r="200" spans="1:22" s="244" customFormat="1" ht="86.45" customHeight="1" x14ac:dyDescent="0.75">
      <c r="A200" s="330">
        <v>79</v>
      </c>
      <c r="B200" s="324" t="s">
        <v>1286</v>
      </c>
      <c r="C200" s="330" t="s">
        <v>511</v>
      </c>
      <c r="D200" s="347">
        <v>33189019161</v>
      </c>
      <c r="E200" s="347" t="s">
        <v>1298</v>
      </c>
      <c r="F200" s="216" t="s">
        <v>18</v>
      </c>
      <c r="G200" s="216">
        <v>2.5</v>
      </c>
      <c r="H200" s="233">
        <v>21.517638999999999</v>
      </c>
      <c r="I200" s="233">
        <f t="shared" si="49"/>
        <v>0.107588195</v>
      </c>
      <c r="J200" s="233">
        <v>0</v>
      </c>
      <c r="K200" s="233">
        <v>0</v>
      </c>
      <c r="L200" s="233">
        <f t="shared" si="50"/>
        <v>1.8289993150000001</v>
      </c>
      <c r="M200" s="237">
        <v>0</v>
      </c>
      <c r="N200" s="233">
        <v>0</v>
      </c>
      <c r="O200" s="233">
        <f t="shared" si="47"/>
        <v>1.9365875100000001</v>
      </c>
      <c r="P200" s="233">
        <f t="shared" si="36"/>
        <v>0</v>
      </c>
      <c r="Q200" s="233">
        <f t="shared" si="48"/>
        <v>1.9365875100000001</v>
      </c>
      <c r="R200" s="217" t="s">
        <v>284</v>
      </c>
      <c r="S200" s="216" t="s">
        <v>991</v>
      </c>
      <c r="T200" s="243" t="s">
        <v>282</v>
      </c>
      <c r="U200" s="243" t="s">
        <v>283</v>
      </c>
      <c r="V200" s="243"/>
    </row>
    <row r="201" spans="1:22" s="244" customFormat="1" ht="86.45" customHeight="1" x14ac:dyDescent="0.75">
      <c r="A201" s="331"/>
      <c r="B201" s="325"/>
      <c r="C201" s="331"/>
      <c r="D201" s="349"/>
      <c r="E201" s="348"/>
      <c r="F201" s="216" t="s">
        <v>20</v>
      </c>
      <c r="G201" s="216">
        <v>6</v>
      </c>
      <c r="H201" s="233">
        <v>30.255267</v>
      </c>
      <c r="I201" s="233">
        <f t="shared" si="49"/>
        <v>0.15127633500000001</v>
      </c>
      <c r="J201" s="233">
        <v>0</v>
      </c>
      <c r="K201" s="233">
        <f>((35+29+30+36+2)*1000)/1000000</f>
        <v>0.13200000000000001</v>
      </c>
      <c r="L201" s="233">
        <f t="shared" si="50"/>
        <v>2.5716976950000001</v>
      </c>
      <c r="M201" s="237">
        <v>0</v>
      </c>
      <c r="N201" s="233">
        <f>((600+498+507+609+34)*1000)/1000000</f>
        <v>2.2480000000000002</v>
      </c>
      <c r="O201" s="233">
        <f t="shared" si="47"/>
        <v>2.72297403</v>
      </c>
      <c r="P201" s="233">
        <f t="shared" si="36"/>
        <v>2.3800000000000003</v>
      </c>
      <c r="Q201" s="233">
        <f t="shared" si="48"/>
        <v>0.34297402999999971</v>
      </c>
      <c r="R201" s="217" t="s">
        <v>292</v>
      </c>
      <c r="S201" s="216" t="s">
        <v>992</v>
      </c>
      <c r="T201" s="243" t="s">
        <v>282</v>
      </c>
      <c r="U201" s="243" t="s">
        <v>283</v>
      </c>
      <c r="V201" s="243"/>
    </row>
    <row r="202" spans="1:22" s="244" customFormat="1" ht="86.45" customHeight="1" x14ac:dyDescent="0.75">
      <c r="A202" s="331"/>
      <c r="B202" s="325"/>
      <c r="C202" s="331"/>
      <c r="D202" s="349"/>
      <c r="E202" s="350" t="s">
        <v>1311</v>
      </c>
      <c r="F202" s="254" t="s">
        <v>18</v>
      </c>
      <c r="G202" s="254">
        <v>2.85</v>
      </c>
      <c r="H202" s="255">
        <v>18.774000000000001</v>
      </c>
      <c r="I202" s="255">
        <f t="shared" si="49"/>
        <v>9.3870000000000009E-2</v>
      </c>
      <c r="J202" s="255">
        <v>0</v>
      </c>
      <c r="K202" s="255">
        <v>9.4E-2</v>
      </c>
      <c r="L202" s="255">
        <f t="shared" si="50"/>
        <v>1.5957900000000003</v>
      </c>
      <c r="M202" s="256">
        <v>0</v>
      </c>
      <c r="N202" s="255">
        <v>1.5960000000000001</v>
      </c>
      <c r="O202" s="255">
        <f t="shared" si="47"/>
        <v>1.6896600000000004</v>
      </c>
      <c r="P202" s="255">
        <f t="shared" si="36"/>
        <v>1.6900000000000002</v>
      </c>
      <c r="Q202" s="255">
        <f>O202-P202</f>
        <v>-3.3999999999978492E-4</v>
      </c>
      <c r="R202" s="258"/>
      <c r="S202" s="254"/>
      <c r="T202" s="243"/>
      <c r="U202" s="243"/>
      <c r="V202" s="243"/>
    </row>
    <row r="203" spans="1:22" s="244" customFormat="1" ht="86.45" customHeight="1" x14ac:dyDescent="0.75">
      <c r="A203" s="331"/>
      <c r="B203" s="325"/>
      <c r="C203" s="331"/>
      <c r="D203" s="349"/>
      <c r="E203" s="351"/>
      <c r="F203" s="254" t="s">
        <v>20</v>
      </c>
      <c r="G203" s="254" t="s">
        <v>1403</v>
      </c>
      <c r="H203" s="255">
        <v>26.062000000000001</v>
      </c>
      <c r="I203" s="255">
        <f t="shared" si="49"/>
        <v>0.13031000000000001</v>
      </c>
      <c r="J203" s="255">
        <v>0</v>
      </c>
      <c r="K203" s="255">
        <v>0.13100000000000001</v>
      </c>
      <c r="L203" s="255">
        <f t="shared" si="50"/>
        <v>2.2152700000000003</v>
      </c>
      <c r="M203" s="256">
        <v>0</v>
      </c>
      <c r="N203" s="255">
        <v>2.2160000000000002</v>
      </c>
      <c r="O203" s="255">
        <f t="shared" si="47"/>
        <v>2.3455800000000004</v>
      </c>
      <c r="P203" s="255">
        <f t="shared" si="36"/>
        <v>2.3470000000000004</v>
      </c>
      <c r="Q203" s="255">
        <f>O203-P203</f>
        <v>-1.4199999999999768E-3</v>
      </c>
      <c r="R203" s="258"/>
      <c r="S203" s="254"/>
      <c r="T203" s="243"/>
      <c r="U203" s="243"/>
      <c r="V203" s="243"/>
    </row>
    <row r="204" spans="1:22" s="244" customFormat="1" ht="86.45" customHeight="1" x14ac:dyDescent="0.75">
      <c r="A204" s="331"/>
      <c r="B204" s="325"/>
      <c r="C204" s="331"/>
      <c r="D204" s="349"/>
      <c r="E204" s="351"/>
      <c r="F204" s="254" t="s">
        <v>21</v>
      </c>
      <c r="G204" s="254" t="s">
        <v>1403</v>
      </c>
      <c r="H204" s="255">
        <v>16.044</v>
      </c>
      <c r="I204" s="255">
        <v>0.16039999999999999</v>
      </c>
      <c r="J204" s="255">
        <v>0</v>
      </c>
      <c r="K204" s="255">
        <v>0.161</v>
      </c>
      <c r="L204" s="255">
        <v>1.6040000000000001</v>
      </c>
      <c r="M204" s="256">
        <v>0</v>
      </c>
      <c r="N204" s="255">
        <v>1.605</v>
      </c>
      <c r="O204" s="255">
        <f>+I204+L204</f>
        <v>1.7644000000000002</v>
      </c>
      <c r="P204" s="255">
        <f t="shared" si="36"/>
        <v>1.766</v>
      </c>
      <c r="Q204" s="255">
        <f>O204-P204</f>
        <v>-1.5999999999998238E-3</v>
      </c>
      <c r="R204" s="258"/>
      <c r="S204" s="254"/>
      <c r="T204" s="243"/>
      <c r="U204" s="243"/>
      <c r="V204" s="243"/>
    </row>
    <row r="205" spans="1:22" s="244" customFormat="1" ht="86.45" customHeight="1" x14ac:dyDescent="0.75">
      <c r="A205" s="330">
        <v>80</v>
      </c>
      <c r="B205" s="324" t="s">
        <v>590</v>
      </c>
      <c r="C205" s="330" t="s">
        <v>511</v>
      </c>
      <c r="D205" s="347">
        <v>28619020822</v>
      </c>
      <c r="E205" s="221" t="s">
        <v>1298</v>
      </c>
      <c r="F205" s="264" t="s">
        <v>20</v>
      </c>
      <c r="G205" s="216">
        <v>4.5999999999999996</v>
      </c>
      <c r="H205" s="233">
        <v>9.3027680000000004</v>
      </c>
      <c r="I205" s="233">
        <f t="shared" si="49"/>
        <v>4.6513840000000001E-2</v>
      </c>
      <c r="J205" s="233">
        <v>0</v>
      </c>
      <c r="K205" s="233">
        <f>(41+3)*1000/1000000</f>
        <v>4.3999999999999997E-2</v>
      </c>
      <c r="L205" s="233">
        <f t="shared" si="50"/>
        <v>0.79073528000000004</v>
      </c>
      <c r="M205" s="237">
        <v>0</v>
      </c>
      <c r="N205" s="233">
        <f>(685+51)*1000/1000000</f>
        <v>0.73599999999999999</v>
      </c>
      <c r="O205" s="233">
        <f t="shared" si="47"/>
        <v>0.83724912000000007</v>
      </c>
      <c r="P205" s="233">
        <f t="shared" si="36"/>
        <v>0.78</v>
      </c>
      <c r="Q205" s="233">
        <f t="shared" si="48"/>
        <v>5.7249120000000042E-2</v>
      </c>
      <c r="R205" s="217" t="s">
        <v>284</v>
      </c>
      <c r="S205" s="216" t="s">
        <v>993</v>
      </c>
      <c r="T205" s="243" t="s">
        <v>282</v>
      </c>
      <c r="U205" s="243" t="s">
        <v>283</v>
      </c>
      <c r="V205" s="243"/>
    </row>
    <row r="206" spans="1:22" s="244" customFormat="1" ht="86.45" customHeight="1" x14ac:dyDescent="0.75">
      <c r="A206" s="332"/>
      <c r="B206" s="326"/>
      <c r="C206" s="332"/>
      <c r="D206" s="348"/>
      <c r="E206" s="260" t="s">
        <v>1333</v>
      </c>
      <c r="F206" s="263" t="s">
        <v>20</v>
      </c>
      <c r="G206" s="254">
        <v>4.5999999999999996</v>
      </c>
      <c r="H206" s="255">
        <v>8.09</v>
      </c>
      <c r="I206" s="255">
        <v>4.0500000000000001E-2</v>
      </c>
      <c r="J206" s="255">
        <v>0</v>
      </c>
      <c r="K206" s="255">
        <v>4.3999999999999997E-2</v>
      </c>
      <c r="L206" s="255">
        <v>0.68789999999999996</v>
      </c>
      <c r="M206" s="256">
        <v>0</v>
      </c>
      <c r="N206" s="255">
        <v>0.73599999999999999</v>
      </c>
      <c r="O206" s="255">
        <f t="shared" si="47"/>
        <v>0.72839999999999994</v>
      </c>
      <c r="P206" s="255">
        <f t="shared" si="36"/>
        <v>0.78</v>
      </c>
      <c r="Q206" s="255">
        <f t="shared" si="48"/>
        <v>-5.160000000000009E-2</v>
      </c>
      <c r="R206" s="258"/>
      <c r="S206" s="254"/>
      <c r="T206" s="243"/>
      <c r="U206" s="243"/>
      <c r="V206" s="243"/>
    </row>
    <row r="207" spans="1:22" ht="86.45" customHeight="1" x14ac:dyDescent="0.75">
      <c r="A207" s="330">
        <v>81</v>
      </c>
      <c r="B207" s="324" t="s">
        <v>591</v>
      </c>
      <c r="C207" s="330" t="s">
        <v>511</v>
      </c>
      <c r="D207" s="347">
        <v>430019003366</v>
      </c>
      <c r="E207" s="347" t="s">
        <v>1298</v>
      </c>
      <c r="F207" s="216" t="s">
        <v>18</v>
      </c>
      <c r="G207" s="216">
        <v>3.5</v>
      </c>
      <c r="H207" s="233">
        <v>24.078232</v>
      </c>
      <c r="I207" s="233">
        <f>+H207*0.005</f>
        <v>0.12039116</v>
      </c>
      <c r="J207" s="233">
        <v>0</v>
      </c>
      <c r="K207" s="233">
        <v>0.112</v>
      </c>
      <c r="L207" s="233">
        <f>+H207*(8.5/100)</f>
        <v>2.04664972</v>
      </c>
      <c r="M207" s="237">
        <v>0</v>
      </c>
      <c r="N207" s="233">
        <v>1.901</v>
      </c>
      <c r="O207" s="233">
        <f>+I207+L207</f>
        <v>2.1670408800000001</v>
      </c>
      <c r="P207" s="233">
        <f>+((J207+K207)+(M207+N207))</f>
        <v>2.0129999999999999</v>
      </c>
      <c r="Q207" s="233">
        <f>+O207-P207</f>
        <v>0.15404088000000016</v>
      </c>
      <c r="R207" s="217" t="s">
        <v>284</v>
      </c>
      <c r="S207" s="216" t="s">
        <v>994</v>
      </c>
      <c r="T207" s="222" t="s">
        <v>282</v>
      </c>
      <c r="U207" s="222" t="s">
        <v>283</v>
      </c>
      <c r="V207" s="222"/>
    </row>
    <row r="208" spans="1:22" ht="86.45" customHeight="1" x14ac:dyDescent="0.75">
      <c r="A208" s="331"/>
      <c r="B208" s="325"/>
      <c r="C208" s="331"/>
      <c r="D208" s="349"/>
      <c r="E208" s="348"/>
      <c r="F208" s="216" t="s">
        <v>20</v>
      </c>
      <c r="G208" s="216">
        <v>3.5</v>
      </c>
      <c r="H208" s="233">
        <v>32.787792000000003</v>
      </c>
      <c r="I208" s="233">
        <f t="shared" si="49"/>
        <v>0.16393896000000002</v>
      </c>
      <c r="J208" s="233">
        <v>0</v>
      </c>
      <c r="K208" s="233">
        <f>(89+11)*1000/1000000</f>
        <v>0.1</v>
      </c>
      <c r="L208" s="233">
        <f t="shared" si="50"/>
        <v>2.7869623200000007</v>
      </c>
      <c r="M208" s="237">
        <v>0</v>
      </c>
      <c r="N208" s="233">
        <f>(1083+1299+233+173)*1000/1000000</f>
        <v>2.7879999999999998</v>
      </c>
      <c r="O208" s="233">
        <f t="shared" si="47"/>
        <v>2.9509012800000005</v>
      </c>
      <c r="P208" s="233">
        <f t="shared" si="36"/>
        <v>2.8879999999999999</v>
      </c>
      <c r="Q208" s="233">
        <f t="shared" si="48"/>
        <v>6.2901280000000614E-2</v>
      </c>
      <c r="R208" s="217" t="s">
        <v>284</v>
      </c>
      <c r="S208" s="216" t="s">
        <v>995</v>
      </c>
      <c r="T208" s="222" t="s">
        <v>282</v>
      </c>
      <c r="U208" s="222" t="s">
        <v>283</v>
      </c>
      <c r="V208" s="222"/>
    </row>
    <row r="209" spans="1:30" ht="86.45" customHeight="1" x14ac:dyDescent="0.75">
      <c r="A209" s="331"/>
      <c r="B209" s="325"/>
      <c r="C209" s="331"/>
      <c r="D209" s="349"/>
      <c r="E209" s="350" t="s">
        <v>1338</v>
      </c>
      <c r="F209" s="254" t="s">
        <v>18</v>
      </c>
      <c r="G209" s="254">
        <v>3.5</v>
      </c>
      <c r="H209" s="255">
        <v>22.360816</v>
      </c>
      <c r="I209" s="255">
        <v>0.1118</v>
      </c>
      <c r="J209" s="255">
        <v>0</v>
      </c>
      <c r="K209" s="255">
        <v>0.112</v>
      </c>
      <c r="L209" s="255">
        <v>1.901</v>
      </c>
      <c r="M209" s="256">
        <v>0</v>
      </c>
      <c r="N209" s="255">
        <v>1.901</v>
      </c>
      <c r="O209" s="255">
        <v>2.012</v>
      </c>
      <c r="P209" s="255">
        <v>2.0129999999999999</v>
      </c>
      <c r="Q209" s="255">
        <v>-1E-3</v>
      </c>
      <c r="R209" s="258"/>
      <c r="S209" s="254"/>
      <c r="T209" s="222"/>
      <c r="U209" s="222"/>
      <c r="V209" s="222"/>
    </row>
    <row r="210" spans="1:30" ht="86.45" customHeight="1" x14ac:dyDescent="0.75">
      <c r="A210" s="332"/>
      <c r="B210" s="326"/>
      <c r="C210" s="332"/>
      <c r="D210" s="348"/>
      <c r="E210" s="352"/>
      <c r="F210" s="254" t="s">
        <v>20</v>
      </c>
      <c r="G210" s="254">
        <v>3.5</v>
      </c>
      <c r="H210" s="255">
        <v>32.780503000000003</v>
      </c>
      <c r="I210" s="255">
        <v>0.16390299999999999</v>
      </c>
      <c r="J210" s="255">
        <v>0</v>
      </c>
      <c r="K210" s="255">
        <v>0.16500000000000001</v>
      </c>
      <c r="L210" s="255">
        <v>2.78634</v>
      </c>
      <c r="M210" s="256">
        <v>0</v>
      </c>
      <c r="N210" s="255">
        <v>2.7879999999999998</v>
      </c>
      <c r="O210" s="255">
        <v>2.9502449999999998</v>
      </c>
      <c r="P210" s="255">
        <v>2.93</v>
      </c>
      <c r="Q210" s="255">
        <v>0</v>
      </c>
      <c r="R210" s="258"/>
      <c r="S210" s="254"/>
      <c r="T210" s="222"/>
      <c r="U210" s="222"/>
      <c r="V210" s="222"/>
    </row>
    <row r="211" spans="1:30" ht="86.45" customHeight="1" x14ac:dyDescent="0.75">
      <c r="A211" s="330">
        <v>82</v>
      </c>
      <c r="B211" s="324" t="s">
        <v>592</v>
      </c>
      <c r="C211" s="330" t="s">
        <v>511</v>
      </c>
      <c r="D211" s="347">
        <v>28619003774</v>
      </c>
      <c r="E211" s="347" t="s">
        <v>1298</v>
      </c>
      <c r="F211" s="216" t="s">
        <v>18</v>
      </c>
      <c r="G211" s="216">
        <v>5</v>
      </c>
      <c r="H211" s="233">
        <v>20.700420000000001</v>
      </c>
      <c r="I211" s="233">
        <f t="shared" si="49"/>
        <v>0.10350210000000001</v>
      </c>
      <c r="J211" s="233">
        <v>0</v>
      </c>
      <c r="K211" s="233">
        <v>3.3000000000000002E-2</v>
      </c>
      <c r="L211" s="233">
        <f t="shared" si="50"/>
        <v>1.7595357000000003</v>
      </c>
      <c r="M211" s="237">
        <v>0</v>
      </c>
      <c r="N211" s="233">
        <v>0.54900000000000004</v>
      </c>
      <c r="O211" s="233">
        <f t="shared" si="47"/>
        <v>1.8630378000000003</v>
      </c>
      <c r="P211" s="233">
        <f t="shared" si="36"/>
        <v>0.58200000000000007</v>
      </c>
      <c r="Q211" s="233">
        <f t="shared" si="48"/>
        <v>1.2810378000000002</v>
      </c>
      <c r="R211" s="217" t="s">
        <v>292</v>
      </c>
      <c r="S211" s="216" t="s">
        <v>996</v>
      </c>
      <c r="T211" s="222" t="s">
        <v>282</v>
      </c>
      <c r="U211" s="222" t="s">
        <v>283</v>
      </c>
      <c r="V211" s="222"/>
    </row>
    <row r="212" spans="1:30" ht="86.45" customHeight="1" x14ac:dyDescent="0.75">
      <c r="A212" s="331"/>
      <c r="B212" s="325"/>
      <c r="C212" s="331"/>
      <c r="D212" s="349"/>
      <c r="E212" s="349"/>
      <c r="F212" s="216" t="s">
        <v>20</v>
      </c>
      <c r="G212" s="216">
        <v>5</v>
      </c>
      <c r="H212" s="233">
        <v>35.987746999999999</v>
      </c>
      <c r="I212" s="233">
        <f t="shared" si="49"/>
        <v>0.17993873499999999</v>
      </c>
      <c r="J212" s="233">
        <f>(4023034/1000000)</f>
        <v>4.023034</v>
      </c>
      <c r="K212" s="233">
        <f>(((104+10)*1000)/1000000)</f>
        <v>0.114</v>
      </c>
      <c r="L212" s="233">
        <f t="shared" si="50"/>
        <v>3.0589584950000002</v>
      </c>
      <c r="M212" s="237">
        <v>0</v>
      </c>
      <c r="N212" s="233">
        <f>(((1096+1432+378+154)*1000)/1000000)</f>
        <v>3.06</v>
      </c>
      <c r="O212" s="233">
        <f t="shared" si="47"/>
        <v>3.2388972300000001</v>
      </c>
      <c r="P212" s="233">
        <f t="shared" si="36"/>
        <v>7.1970340000000004</v>
      </c>
      <c r="Q212" s="233">
        <f t="shared" si="48"/>
        <v>-3.9581367700000003</v>
      </c>
      <c r="R212" s="217" t="s">
        <v>284</v>
      </c>
      <c r="S212" s="216" t="s">
        <v>939</v>
      </c>
      <c r="T212" s="222" t="s">
        <v>282</v>
      </c>
      <c r="U212" s="222" t="s">
        <v>310</v>
      </c>
      <c r="V212" s="222"/>
    </row>
    <row r="213" spans="1:30" ht="86.45" customHeight="1" x14ac:dyDescent="0.75">
      <c r="A213" s="331"/>
      <c r="B213" s="325"/>
      <c r="C213" s="331"/>
      <c r="D213" s="349"/>
      <c r="E213" s="349"/>
      <c r="F213" s="216" t="s">
        <v>21</v>
      </c>
      <c r="G213" s="216">
        <v>8</v>
      </c>
      <c r="H213" s="233">
        <v>50.967243000000003</v>
      </c>
      <c r="I213" s="233">
        <f>+H213*0.01</f>
        <v>0.50967243000000007</v>
      </c>
      <c r="J213" s="233">
        <f>(0.075+0.098+0.107+0.128)</f>
        <v>0.40799999999999997</v>
      </c>
      <c r="K213" s="233">
        <f>((10+88+32)*1000)/1000000</f>
        <v>0.13</v>
      </c>
      <c r="L213" s="233">
        <f>+H213*(10/100)</f>
        <v>5.0967243000000009</v>
      </c>
      <c r="M213" s="237">
        <f>(0.186+0.211+0.11+0.039+0.146+0.0656)</f>
        <v>0.75760000000000005</v>
      </c>
      <c r="N213" s="233">
        <f>((154+294+1163+3025)*1000)/1000000</f>
        <v>4.6360000000000001</v>
      </c>
      <c r="O213" s="233">
        <f>+I213+L213</f>
        <v>5.606396730000001</v>
      </c>
      <c r="P213" s="233">
        <f>+((J213+K213)+(M213+N213))</f>
        <v>5.9316000000000004</v>
      </c>
      <c r="Q213" s="233">
        <f>+O213-P213</f>
        <v>-0.32520326999999938</v>
      </c>
      <c r="R213" s="217" t="s">
        <v>19</v>
      </c>
      <c r="S213" s="216" t="s">
        <v>997</v>
      </c>
      <c r="T213" s="222" t="s">
        <v>282</v>
      </c>
      <c r="U213" s="222" t="s">
        <v>310</v>
      </c>
      <c r="V213" s="222"/>
    </row>
    <row r="214" spans="1:30" ht="86.45" customHeight="1" x14ac:dyDescent="0.75">
      <c r="A214" s="331"/>
      <c r="B214" s="325"/>
      <c r="C214" s="331"/>
      <c r="D214" s="349"/>
      <c r="E214" s="349"/>
      <c r="F214" s="216" t="s">
        <v>22</v>
      </c>
      <c r="G214" s="216">
        <v>7</v>
      </c>
      <c r="H214" s="233">
        <f>47360128/1000000</f>
        <v>47.360128000000003</v>
      </c>
      <c r="I214" s="233">
        <f>+H214*0.02</f>
        <v>0.94720256000000003</v>
      </c>
      <c r="J214" s="233">
        <v>0</v>
      </c>
      <c r="K214" s="233">
        <f>((889)*1000)/1000000</f>
        <v>0.88900000000000001</v>
      </c>
      <c r="L214" s="233">
        <f>+H214*(10.5/100)</f>
        <v>4.9728134400000004</v>
      </c>
      <c r="M214" s="237">
        <v>0</v>
      </c>
      <c r="N214" s="233">
        <f>((1000+2660+937+40)*1000)/1000000</f>
        <v>4.6369999999999996</v>
      </c>
      <c r="O214" s="233">
        <f>+I214+L214</f>
        <v>5.9200160000000004</v>
      </c>
      <c r="P214" s="233">
        <f>J214+K214+M214+N214</f>
        <v>5.5259999999999998</v>
      </c>
      <c r="Q214" s="233">
        <f>O214-P214</f>
        <v>0.39401600000000059</v>
      </c>
      <c r="R214" s="216" t="s">
        <v>19</v>
      </c>
      <c r="S214" s="216" t="s">
        <v>65</v>
      </c>
      <c r="T214" s="222" t="s">
        <v>282</v>
      </c>
      <c r="U214" s="222" t="s">
        <v>283</v>
      </c>
      <c r="V214" s="222"/>
      <c r="W214" s="14"/>
      <c r="X214" s="14"/>
      <c r="Y214" s="14"/>
      <c r="Z214" s="14"/>
      <c r="AA214" s="14"/>
      <c r="AB214" s="14"/>
      <c r="AC214" s="14"/>
      <c r="AD214" s="14"/>
    </row>
    <row r="215" spans="1:30" ht="86.45" customHeight="1" x14ac:dyDescent="0.75">
      <c r="A215" s="331"/>
      <c r="B215" s="325"/>
      <c r="C215" s="331"/>
      <c r="D215" s="349"/>
      <c r="E215" s="349"/>
      <c r="F215" s="216" t="s">
        <v>24</v>
      </c>
      <c r="G215" s="216">
        <v>7</v>
      </c>
      <c r="H215" s="233">
        <v>35.817112000000002</v>
      </c>
      <c r="I215" s="233">
        <f>+H215*(2.75/100)</f>
        <v>0.98497058000000004</v>
      </c>
      <c r="J215" s="234">
        <v>0.63</v>
      </c>
      <c r="K215" s="233">
        <f>((21+172+43)*1000)/1000000</f>
        <v>0.23599999999999999</v>
      </c>
      <c r="L215" s="233">
        <f>+H215*(11/100)</f>
        <v>3.9398823200000002</v>
      </c>
      <c r="M215" s="238">
        <v>2.827</v>
      </c>
      <c r="N215" s="233">
        <f>((21+544+176)*1000)/1000000</f>
        <v>0.74099999999999999</v>
      </c>
      <c r="O215" s="233">
        <f>+I215+L215</f>
        <v>4.9248529000000003</v>
      </c>
      <c r="P215" s="233">
        <f>J215+K215+M215+N215</f>
        <v>4.4340000000000002</v>
      </c>
      <c r="Q215" s="233">
        <f>O215-P215</f>
        <v>0.49085290000000015</v>
      </c>
      <c r="R215" s="217" t="s">
        <v>497</v>
      </c>
      <c r="S215" s="216" t="s">
        <v>66</v>
      </c>
      <c r="T215" s="222" t="s">
        <v>282</v>
      </c>
      <c r="U215" s="222" t="s">
        <v>283</v>
      </c>
      <c r="V215" s="222"/>
      <c r="W215" s="14"/>
      <c r="X215" s="14"/>
      <c r="Y215" s="14"/>
      <c r="Z215" s="14"/>
      <c r="AA215" s="14"/>
      <c r="AB215" s="14"/>
      <c r="AC215" s="14"/>
      <c r="AD215" s="14"/>
    </row>
    <row r="216" spans="1:30" ht="86.45" customHeight="1" x14ac:dyDescent="0.75">
      <c r="A216" s="331"/>
      <c r="B216" s="325"/>
      <c r="C216" s="331"/>
      <c r="D216" s="349"/>
      <c r="E216" s="348"/>
      <c r="F216" s="216" t="s">
        <v>27</v>
      </c>
      <c r="G216" s="216">
        <v>7</v>
      </c>
      <c r="H216" s="233">
        <v>15.067208000000001</v>
      </c>
      <c r="I216" s="233">
        <f>+H216*(3.5/100)</f>
        <v>0.52735228000000012</v>
      </c>
      <c r="J216" s="233">
        <v>0</v>
      </c>
      <c r="K216" s="233">
        <v>0.54900000000000004</v>
      </c>
      <c r="L216" s="233">
        <f>+H216*(11.5/100)</f>
        <v>1.7327289200000002</v>
      </c>
      <c r="M216" s="237">
        <v>12.907</v>
      </c>
      <c r="N216" s="233">
        <v>0.17599999999999999</v>
      </c>
      <c r="O216" s="233">
        <f t="shared" si="47"/>
        <v>2.2600812000000001</v>
      </c>
      <c r="P216" s="233">
        <f>J216+K216+M216+N216</f>
        <v>13.632</v>
      </c>
      <c r="Q216" s="233">
        <f t="shared" si="48"/>
        <v>-11.3719188</v>
      </c>
      <c r="R216" s="217" t="s">
        <v>497</v>
      </c>
      <c r="S216" s="217" t="s">
        <v>67</v>
      </c>
      <c r="T216" s="222" t="s">
        <v>282</v>
      </c>
      <c r="U216" s="222" t="s">
        <v>310</v>
      </c>
      <c r="V216" s="222"/>
      <c r="W216" s="14"/>
      <c r="X216" s="14"/>
      <c r="Y216" s="14"/>
      <c r="Z216" s="14"/>
      <c r="AA216" s="14"/>
      <c r="AB216" s="14"/>
      <c r="AC216" s="14"/>
      <c r="AD216" s="14"/>
    </row>
    <row r="217" spans="1:30" ht="86.45" customHeight="1" x14ac:dyDescent="0.75">
      <c r="A217" s="331"/>
      <c r="B217" s="325"/>
      <c r="C217" s="331"/>
      <c r="D217" s="349"/>
      <c r="E217" s="350" t="s">
        <v>1338</v>
      </c>
      <c r="F217" s="254" t="s">
        <v>18</v>
      </c>
      <c r="G217" s="254">
        <v>5</v>
      </c>
      <c r="H217" s="255">
        <v>6.46</v>
      </c>
      <c r="I217" s="255">
        <v>3.2280999999999997E-2</v>
      </c>
      <c r="J217" s="255">
        <v>0</v>
      </c>
      <c r="K217" s="255">
        <v>3.3000000000000002E-2</v>
      </c>
      <c r="L217" s="255">
        <v>0.54878199999999999</v>
      </c>
      <c r="M217" s="256">
        <v>0</v>
      </c>
      <c r="N217" s="255">
        <v>0.54900000000000004</v>
      </c>
      <c r="O217" s="255">
        <f t="shared" si="47"/>
        <v>0.581063</v>
      </c>
      <c r="P217" s="255">
        <f>J217+K217+M217+N217</f>
        <v>0.58200000000000007</v>
      </c>
      <c r="Q217" s="255">
        <f t="shared" si="48"/>
        <v>-9.3700000000007666E-4</v>
      </c>
      <c r="R217" s="258"/>
      <c r="S217" s="258"/>
      <c r="T217" s="222"/>
      <c r="U217" s="222"/>
      <c r="V217" s="222"/>
      <c r="W217" s="14"/>
      <c r="X217" s="14"/>
      <c r="Y217" s="14"/>
      <c r="Z217" s="14"/>
      <c r="AA217" s="14"/>
      <c r="AB217" s="14"/>
      <c r="AC217" s="14"/>
      <c r="AD217" s="14"/>
    </row>
    <row r="218" spans="1:30" ht="86.45" customHeight="1" x14ac:dyDescent="0.75">
      <c r="A218" s="331"/>
      <c r="B218" s="325"/>
      <c r="C218" s="331"/>
      <c r="D218" s="349"/>
      <c r="E218" s="351"/>
      <c r="F218" s="254" t="s">
        <v>20</v>
      </c>
      <c r="G218" s="254">
        <v>5</v>
      </c>
      <c r="H218" s="255">
        <v>35.898220000000002</v>
      </c>
      <c r="I218" s="255">
        <v>0.17949909999999999</v>
      </c>
      <c r="J218" s="255">
        <v>0</v>
      </c>
      <c r="K218" s="255">
        <v>0.18099999999999999</v>
      </c>
      <c r="L218" s="255">
        <v>3.0513530000000002</v>
      </c>
      <c r="M218" s="256">
        <v>0</v>
      </c>
      <c r="N218" s="255">
        <v>3.06</v>
      </c>
      <c r="O218" s="255">
        <f t="shared" si="47"/>
        <v>3.2308521000000003</v>
      </c>
      <c r="P218" s="255">
        <f t="shared" ref="P218:P222" si="51">J218+K218+M218+N218</f>
        <v>3.2410000000000001</v>
      </c>
      <c r="Q218" s="255">
        <f t="shared" si="48"/>
        <v>-1.0147899999999765E-2</v>
      </c>
      <c r="R218" s="258"/>
      <c r="S218" s="258"/>
      <c r="T218" s="222"/>
      <c r="U218" s="222"/>
      <c r="V218" s="222"/>
      <c r="W218" s="14"/>
      <c r="X218" s="14"/>
      <c r="Y218" s="14"/>
      <c r="Z218" s="14"/>
      <c r="AA218" s="14"/>
      <c r="AB218" s="14"/>
      <c r="AC218" s="14"/>
      <c r="AD218" s="14"/>
    </row>
    <row r="219" spans="1:30" ht="86.45" customHeight="1" x14ac:dyDescent="0.75">
      <c r="A219" s="331"/>
      <c r="B219" s="325"/>
      <c r="C219" s="331"/>
      <c r="D219" s="349"/>
      <c r="E219" s="351"/>
      <c r="F219" s="254" t="s">
        <v>21</v>
      </c>
      <c r="G219" s="254">
        <v>8</v>
      </c>
      <c r="H219" s="255">
        <v>53.92</v>
      </c>
      <c r="I219" s="255">
        <v>0.53921699999999995</v>
      </c>
      <c r="J219" s="255">
        <v>0.41</v>
      </c>
      <c r="K219" s="255">
        <v>0.13</v>
      </c>
      <c r="L219" s="255">
        <v>5.3921749999999999</v>
      </c>
      <c r="M219" s="256">
        <v>0.76</v>
      </c>
      <c r="N219" s="255">
        <v>4.6399999999999997</v>
      </c>
      <c r="O219" s="255">
        <f t="shared" si="47"/>
        <v>5.9313919999999998</v>
      </c>
      <c r="P219" s="255">
        <f t="shared" si="51"/>
        <v>5.9399999999999995</v>
      </c>
      <c r="Q219" s="255">
        <f t="shared" si="48"/>
        <v>-8.607999999999727E-3</v>
      </c>
      <c r="R219" s="258"/>
      <c r="S219" s="258"/>
      <c r="T219" s="222"/>
      <c r="U219" s="222"/>
      <c r="V219" s="222"/>
      <c r="W219" s="14"/>
      <c r="X219" s="14"/>
      <c r="Y219" s="14"/>
      <c r="Z219" s="14"/>
      <c r="AA219" s="14"/>
      <c r="AB219" s="14"/>
      <c r="AC219" s="14"/>
      <c r="AD219" s="14"/>
    </row>
    <row r="220" spans="1:30" ht="86.45" customHeight="1" x14ac:dyDescent="0.75">
      <c r="A220" s="331"/>
      <c r="B220" s="325"/>
      <c r="C220" s="331"/>
      <c r="D220" s="349"/>
      <c r="E220" s="351"/>
      <c r="F220" s="254" t="s">
        <v>22</v>
      </c>
      <c r="G220" s="254">
        <v>7</v>
      </c>
      <c r="H220" s="255">
        <v>44.41</v>
      </c>
      <c r="I220" s="255">
        <v>0.88800000000000001</v>
      </c>
      <c r="J220" s="255">
        <v>0</v>
      </c>
      <c r="K220" s="255">
        <v>0</v>
      </c>
      <c r="L220" s="255">
        <v>4.6630000000000003</v>
      </c>
      <c r="M220" s="256">
        <v>0</v>
      </c>
      <c r="N220" s="255">
        <v>4.5970000000000004</v>
      </c>
      <c r="O220" s="255">
        <f t="shared" si="47"/>
        <v>5.5510000000000002</v>
      </c>
      <c r="P220" s="255">
        <f t="shared" si="51"/>
        <v>4.5970000000000004</v>
      </c>
      <c r="Q220" s="255">
        <f t="shared" si="48"/>
        <v>0.95399999999999974</v>
      </c>
      <c r="R220" s="258"/>
      <c r="S220" s="258"/>
      <c r="T220" s="222"/>
      <c r="U220" s="222"/>
      <c r="V220" s="222"/>
      <c r="W220" s="14"/>
      <c r="X220" s="14"/>
      <c r="Y220" s="14"/>
      <c r="Z220" s="14"/>
      <c r="AA220" s="14"/>
      <c r="AB220" s="14"/>
      <c r="AC220" s="14"/>
      <c r="AD220" s="14"/>
    </row>
    <row r="221" spans="1:30" ht="86.45" customHeight="1" x14ac:dyDescent="0.75">
      <c r="A221" s="331"/>
      <c r="B221" s="325"/>
      <c r="C221" s="331"/>
      <c r="D221" s="349"/>
      <c r="E221" s="351"/>
      <c r="F221" s="254" t="s">
        <v>24</v>
      </c>
      <c r="G221" s="254">
        <v>7</v>
      </c>
      <c r="H221" s="255">
        <v>32.24</v>
      </c>
      <c r="I221" s="255">
        <v>0.88662099999999999</v>
      </c>
      <c r="J221" s="255">
        <v>0.63</v>
      </c>
      <c r="K221" s="255">
        <v>0.193</v>
      </c>
      <c r="L221" s="255">
        <v>3.5464829999999998</v>
      </c>
      <c r="M221" s="256">
        <v>2.83</v>
      </c>
      <c r="N221" s="255">
        <v>0.56499999999999995</v>
      </c>
      <c r="O221" s="255">
        <f t="shared" si="47"/>
        <v>4.4331040000000002</v>
      </c>
      <c r="P221" s="255">
        <f t="shared" si="51"/>
        <v>4.218</v>
      </c>
      <c r="Q221" s="255">
        <f t="shared" si="48"/>
        <v>0.21510400000000018</v>
      </c>
      <c r="R221" s="258"/>
      <c r="S221" s="258"/>
      <c r="T221" s="222"/>
      <c r="U221" s="222"/>
      <c r="V221" s="222"/>
      <c r="W221" s="14"/>
      <c r="X221" s="14"/>
      <c r="Y221" s="14"/>
      <c r="Z221" s="14"/>
      <c r="AA221" s="14"/>
      <c r="AB221" s="14"/>
      <c r="AC221" s="14"/>
      <c r="AD221" s="14"/>
    </row>
    <row r="222" spans="1:30" ht="86.45" customHeight="1" x14ac:dyDescent="0.75">
      <c r="A222" s="332"/>
      <c r="B222" s="326"/>
      <c r="C222" s="332"/>
      <c r="D222" s="348"/>
      <c r="E222" s="352"/>
      <c r="F222" s="254" t="s">
        <v>27</v>
      </c>
      <c r="G222" s="254">
        <v>7</v>
      </c>
      <c r="H222" s="255">
        <v>14.19</v>
      </c>
      <c r="I222" s="255">
        <v>0.496807</v>
      </c>
      <c r="J222" s="255">
        <v>0</v>
      </c>
      <c r="K222" s="255">
        <v>0.54900000000000004</v>
      </c>
      <c r="L222" s="255">
        <v>1.632366</v>
      </c>
      <c r="M222" s="256">
        <v>12.907</v>
      </c>
      <c r="N222" s="255">
        <v>0.17599999999999999</v>
      </c>
      <c r="O222" s="255">
        <f t="shared" si="47"/>
        <v>2.1291729999999998</v>
      </c>
      <c r="P222" s="255">
        <f t="shared" si="51"/>
        <v>13.632</v>
      </c>
      <c r="Q222" s="255">
        <f t="shared" si="48"/>
        <v>-11.502827</v>
      </c>
      <c r="R222" s="258"/>
      <c r="S222" s="258"/>
      <c r="T222" s="222"/>
      <c r="U222" s="222"/>
      <c r="V222" s="222"/>
      <c r="W222" s="14"/>
      <c r="X222" s="14"/>
      <c r="Y222" s="14"/>
      <c r="Z222" s="14"/>
      <c r="AA222" s="14"/>
      <c r="AB222" s="14"/>
      <c r="AC222" s="14"/>
      <c r="AD222" s="14"/>
    </row>
    <row r="223" spans="1:30" ht="86.45" customHeight="1" x14ac:dyDescent="0.75">
      <c r="A223" s="333">
        <v>83</v>
      </c>
      <c r="B223" s="353" t="s">
        <v>593</v>
      </c>
      <c r="C223" s="333" t="s">
        <v>511</v>
      </c>
      <c r="D223" s="354">
        <v>75949010261</v>
      </c>
      <c r="E223" s="221"/>
      <c r="F223" s="216" t="s">
        <v>18</v>
      </c>
      <c r="G223" s="216">
        <v>15</v>
      </c>
      <c r="H223" s="233">
        <v>61.467449999999999</v>
      </c>
      <c r="I223" s="233">
        <f>+H223*0.005</f>
        <v>0.30733725000000001</v>
      </c>
      <c r="J223" s="233">
        <v>0</v>
      </c>
      <c r="K223" s="233">
        <v>0.29499999999999998</v>
      </c>
      <c r="L223" s="233">
        <f>+H223*(8.5/100)</f>
        <v>5.2247332500000008</v>
      </c>
      <c r="M223" s="237">
        <v>0</v>
      </c>
      <c r="N223" s="233">
        <v>5.0030000000000001</v>
      </c>
      <c r="O223" s="233">
        <f>+I223+L223</f>
        <v>5.5320705000000006</v>
      </c>
      <c r="P223" s="233">
        <f>+((J223+K223)+(M223+N223))</f>
        <v>5.298</v>
      </c>
      <c r="Q223" s="233">
        <f>+O223-P223</f>
        <v>0.23407050000000051</v>
      </c>
      <c r="R223" s="217" t="s">
        <v>292</v>
      </c>
      <c r="S223" s="216" t="s">
        <v>998</v>
      </c>
      <c r="T223" s="222" t="s">
        <v>282</v>
      </c>
      <c r="U223" s="222" t="s">
        <v>283</v>
      </c>
      <c r="V223" s="222"/>
    </row>
    <row r="224" spans="1:30" ht="86.45" customHeight="1" x14ac:dyDescent="0.75">
      <c r="A224" s="333"/>
      <c r="B224" s="353"/>
      <c r="C224" s="333"/>
      <c r="D224" s="354"/>
      <c r="E224" s="221"/>
      <c r="F224" s="216" t="s">
        <v>20</v>
      </c>
      <c r="G224" s="216">
        <v>8</v>
      </c>
      <c r="H224" s="233">
        <v>69.481375999999997</v>
      </c>
      <c r="I224" s="233">
        <f>+H224*0.005</f>
        <v>0.34740687999999997</v>
      </c>
      <c r="J224" s="233">
        <v>0</v>
      </c>
      <c r="K224" s="233">
        <f>(52+26+29+28+58+50+25+29+30)*1000/1000000</f>
        <v>0.32700000000000001</v>
      </c>
      <c r="L224" s="233">
        <f>+H224*(8.5/100)</f>
        <v>5.9059169599999999</v>
      </c>
      <c r="M224" s="237">
        <v>0</v>
      </c>
      <c r="N224" s="233">
        <f>(868+457+490+478+973+851+423+505+501)*1000/1000000</f>
        <v>5.5460000000000003</v>
      </c>
      <c r="O224" s="233">
        <f t="shared" si="47"/>
        <v>6.2533238400000002</v>
      </c>
      <c r="P224" s="233">
        <f t="shared" ref="P224:P316" si="52">+((J224+K224)+(M224+N224))</f>
        <v>5.8730000000000002</v>
      </c>
      <c r="Q224" s="233">
        <f t="shared" ref="Q224:Q316" si="53">+O224-P224</f>
        <v>0.38032383999999997</v>
      </c>
      <c r="R224" s="217" t="s">
        <v>19</v>
      </c>
      <c r="S224" s="216" t="s">
        <v>999</v>
      </c>
      <c r="T224" s="222" t="s">
        <v>282</v>
      </c>
      <c r="U224" s="222" t="s">
        <v>283</v>
      </c>
      <c r="V224" s="222"/>
    </row>
    <row r="225" spans="1:30" ht="86.45" customHeight="1" x14ac:dyDescent="0.75">
      <c r="A225" s="333"/>
      <c r="B225" s="353"/>
      <c r="C225" s="333"/>
      <c r="D225" s="354"/>
      <c r="E225" s="221"/>
      <c r="F225" s="216" t="s">
        <v>21</v>
      </c>
      <c r="G225" s="216">
        <v>10</v>
      </c>
      <c r="H225" s="233">
        <v>74.925242999999995</v>
      </c>
      <c r="I225" s="233">
        <f>+H225*0.01</f>
        <v>0.74925242999999997</v>
      </c>
      <c r="J225" s="233">
        <v>0</v>
      </c>
      <c r="K225" s="233">
        <f>((68+67+15+52+182+56)*1000)/1000000</f>
        <v>0.44</v>
      </c>
      <c r="L225" s="233">
        <f>+H225*(10/100)</f>
        <v>7.4925242999999995</v>
      </c>
      <c r="M225" s="237">
        <v>0</v>
      </c>
      <c r="N225" s="233">
        <f>((686+672+250+314+1826+556)*1000)/1000000</f>
        <v>4.3040000000000003</v>
      </c>
      <c r="O225" s="233">
        <f>+I225+L225</f>
        <v>8.2417767299999998</v>
      </c>
      <c r="P225" s="233">
        <f>+((J225+K225)+(M225+N225))</f>
        <v>4.7440000000000007</v>
      </c>
      <c r="Q225" s="233">
        <f>+O225-P225</f>
        <v>3.4977767299999991</v>
      </c>
      <c r="R225" s="217" t="s">
        <v>284</v>
      </c>
      <c r="S225" s="216" t="s">
        <v>1000</v>
      </c>
      <c r="T225" s="222" t="s">
        <v>282</v>
      </c>
      <c r="U225" s="222" t="s">
        <v>283</v>
      </c>
      <c r="V225" s="222"/>
    </row>
    <row r="226" spans="1:30" ht="86.45" customHeight="1" x14ac:dyDescent="0.75">
      <c r="A226" s="333"/>
      <c r="B226" s="353"/>
      <c r="C226" s="333"/>
      <c r="D226" s="354"/>
      <c r="E226" s="221"/>
      <c r="F226" s="216" t="s">
        <v>22</v>
      </c>
      <c r="G226" s="216">
        <v>8.1999999999999993</v>
      </c>
      <c r="H226" s="233">
        <f>26877360/1000000</f>
        <v>26.877359999999999</v>
      </c>
      <c r="I226" s="233">
        <f>+H226*0.02</f>
        <v>0.5375472</v>
      </c>
      <c r="J226" s="233">
        <v>0</v>
      </c>
      <c r="K226" s="233">
        <v>0</v>
      </c>
      <c r="L226" s="233">
        <f>+H226*(10.5/100)</f>
        <v>2.8221227999999998</v>
      </c>
      <c r="M226" s="237">
        <v>0</v>
      </c>
      <c r="N226" s="233">
        <v>0</v>
      </c>
      <c r="O226" s="233">
        <f t="shared" si="47"/>
        <v>3.3596699999999999</v>
      </c>
      <c r="P226" s="233">
        <f t="shared" si="52"/>
        <v>0</v>
      </c>
      <c r="Q226" s="233">
        <f t="shared" si="53"/>
        <v>3.3596699999999999</v>
      </c>
      <c r="R226" s="216" t="s">
        <v>19</v>
      </c>
      <c r="S226" s="216" t="s">
        <v>69</v>
      </c>
      <c r="T226" s="222" t="s">
        <v>344</v>
      </c>
      <c r="U226" s="222"/>
      <c r="V226" s="222"/>
      <c r="W226" s="14"/>
      <c r="X226" s="14"/>
      <c r="Y226" s="14"/>
      <c r="Z226" s="14"/>
      <c r="AA226" s="14"/>
      <c r="AB226" s="14"/>
      <c r="AC226" s="14"/>
      <c r="AD226" s="14"/>
    </row>
    <row r="227" spans="1:30" ht="86.45" customHeight="1" x14ac:dyDescent="0.75">
      <c r="A227" s="330">
        <v>84</v>
      </c>
      <c r="B227" s="324" t="s">
        <v>594</v>
      </c>
      <c r="C227" s="330" t="s">
        <v>536</v>
      </c>
      <c r="D227" s="347">
        <v>900000021997</v>
      </c>
      <c r="E227" s="347" t="s">
        <v>1298</v>
      </c>
      <c r="F227" s="216" t="s">
        <v>20</v>
      </c>
      <c r="G227" s="216">
        <v>57.5</v>
      </c>
      <c r="H227" s="233">
        <f>56160000/1000000</f>
        <v>56.16</v>
      </c>
      <c r="I227" s="233">
        <f>+H227*0.005</f>
        <v>0.28079999999999999</v>
      </c>
      <c r="J227" s="233">
        <v>0</v>
      </c>
      <c r="K227" s="233">
        <f>((281)*1000)/1000000</f>
        <v>0.28100000000000003</v>
      </c>
      <c r="L227" s="233">
        <f>+H227*(8.5/100)</f>
        <v>4.7736000000000001</v>
      </c>
      <c r="M227" s="237">
        <v>0</v>
      </c>
      <c r="N227" s="233">
        <f>((4774)*1000)/1000000</f>
        <v>4.774</v>
      </c>
      <c r="O227" s="233">
        <f>+I227+L227</f>
        <v>5.0544000000000002</v>
      </c>
      <c r="P227" s="233">
        <f>+((J227+K227)+(M227+N227))</f>
        <v>5.0549999999999997</v>
      </c>
      <c r="Q227" s="233">
        <f>+O227-P227</f>
        <v>-5.9999999999948983E-4</v>
      </c>
      <c r="R227" s="217" t="s">
        <v>372</v>
      </c>
      <c r="S227" s="216" t="s">
        <v>1001</v>
      </c>
      <c r="T227" s="222" t="s">
        <v>282</v>
      </c>
      <c r="U227" s="222" t="s">
        <v>310</v>
      </c>
      <c r="V227" s="241"/>
      <c r="W227" s="242"/>
    </row>
    <row r="228" spans="1:30" ht="86.45" customHeight="1" x14ac:dyDescent="0.75">
      <c r="A228" s="331"/>
      <c r="B228" s="325"/>
      <c r="C228" s="331"/>
      <c r="D228" s="349"/>
      <c r="E228" s="349"/>
      <c r="F228" s="216" t="s">
        <v>21</v>
      </c>
      <c r="G228" s="216">
        <v>40</v>
      </c>
      <c r="H228" s="233">
        <v>282.86</v>
      </c>
      <c r="I228" s="233">
        <f>+H228*0.01</f>
        <v>2.8286000000000002</v>
      </c>
      <c r="J228" s="233">
        <v>0</v>
      </c>
      <c r="K228" s="233">
        <f>((27+130+222+2437)*1000)/1000000</f>
        <v>2.8159999999999998</v>
      </c>
      <c r="L228" s="233">
        <f>+H228*(10/100)</f>
        <v>28.286000000000001</v>
      </c>
      <c r="M228" s="237">
        <v>0</v>
      </c>
      <c r="N228" s="233">
        <f>((6900+6934+7456+6997)*1000)/1000000</f>
        <v>28.286999999999999</v>
      </c>
      <c r="O228" s="233">
        <f t="shared" si="47"/>
        <v>31.114600000000003</v>
      </c>
      <c r="P228" s="233">
        <f t="shared" si="52"/>
        <v>31.102999999999998</v>
      </c>
      <c r="Q228" s="233">
        <f t="shared" ref="Q228:Q236" si="54">+O228-P228</f>
        <v>1.160000000000494E-2</v>
      </c>
      <c r="R228" s="217" t="s">
        <v>284</v>
      </c>
      <c r="S228" s="216" t="s">
        <v>1002</v>
      </c>
      <c r="T228" s="222" t="s">
        <v>282</v>
      </c>
      <c r="U228" s="222" t="s">
        <v>283</v>
      </c>
      <c r="V228" s="241"/>
    </row>
    <row r="229" spans="1:30" ht="86.45" customHeight="1" x14ac:dyDescent="0.75">
      <c r="A229" s="331"/>
      <c r="B229" s="325"/>
      <c r="C229" s="331"/>
      <c r="D229" s="349"/>
      <c r="E229" s="349"/>
      <c r="F229" s="216" t="s">
        <v>22</v>
      </c>
      <c r="G229" s="216">
        <v>40</v>
      </c>
      <c r="H229" s="233">
        <v>368.740611</v>
      </c>
      <c r="I229" s="233">
        <f>+H229*0.02</f>
        <v>7.3748122199999999</v>
      </c>
      <c r="J229" s="233">
        <v>0</v>
      </c>
      <c r="K229" s="233">
        <v>0</v>
      </c>
      <c r="L229" s="233">
        <f>+H229*(10.5/100)</f>
        <v>38.717764154999998</v>
      </c>
      <c r="M229" s="237">
        <v>46.48</v>
      </c>
      <c r="N229" s="233">
        <v>0</v>
      </c>
      <c r="O229" s="233">
        <f>+I229+L229</f>
        <v>46.092576375</v>
      </c>
      <c r="P229" s="233">
        <f>+((J229+K229)+(M229+N229))</f>
        <v>46.48</v>
      </c>
      <c r="Q229" s="233">
        <f t="shared" si="54"/>
        <v>-0.38742362499999672</v>
      </c>
      <c r="R229" s="216" t="s">
        <v>493</v>
      </c>
      <c r="S229" s="217" t="s">
        <v>70</v>
      </c>
      <c r="T229" s="222" t="s">
        <v>282</v>
      </c>
      <c r="U229" s="222" t="s">
        <v>310</v>
      </c>
      <c r="V229" s="241"/>
      <c r="W229" s="14"/>
      <c r="X229" s="14"/>
      <c r="Y229" s="14"/>
      <c r="Z229" s="14"/>
      <c r="AA229" s="14"/>
      <c r="AB229" s="14"/>
      <c r="AC229" s="14"/>
      <c r="AD229" s="14"/>
    </row>
    <row r="230" spans="1:30" ht="86.45" customHeight="1" x14ac:dyDescent="0.75">
      <c r="A230" s="331"/>
      <c r="B230" s="325"/>
      <c r="C230" s="331"/>
      <c r="D230" s="349"/>
      <c r="E230" s="349"/>
      <c r="F230" s="223" t="s">
        <v>24</v>
      </c>
      <c r="G230" s="223">
        <v>40</v>
      </c>
      <c r="H230" s="234">
        <v>255.11</v>
      </c>
      <c r="I230" s="234">
        <f>+H230*(2.75/100)</f>
        <v>7.0155250000000002</v>
      </c>
      <c r="J230" s="234">
        <v>0</v>
      </c>
      <c r="K230" s="234">
        <f>((1354)*1000)/1000000</f>
        <v>1.3540000000000001</v>
      </c>
      <c r="L230" s="234">
        <f>+H230*(11/100)</f>
        <v>28.062100000000001</v>
      </c>
      <c r="M230" s="238">
        <v>80.28</v>
      </c>
      <c r="N230" s="234">
        <v>0</v>
      </c>
      <c r="O230" s="234">
        <f>+I230+L230</f>
        <v>35.077624999999998</v>
      </c>
      <c r="P230" s="234">
        <f>+((J230+K230)+(M230+N230))</f>
        <v>81.634</v>
      </c>
      <c r="Q230" s="233">
        <f t="shared" si="54"/>
        <v>-46.556375000000003</v>
      </c>
      <c r="R230" s="223" t="s">
        <v>71</v>
      </c>
      <c r="S230" s="223" t="s">
        <v>72</v>
      </c>
      <c r="T230" s="222" t="s">
        <v>282</v>
      </c>
      <c r="U230" s="222" t="s">
        <v>310</v>
      </c>
      <c r="V230" s="241"/>
      <c r="W230" s="14"/>
      <c r="X230" s="14"/>
      <c r="Y230" s="14"/>
      <c r="Z230" s="14"/>
      <c r="AA230" s="14"/>
      <c r="AB230" s="14"/>
      <c r="AC230" s="14"/>
      <c r="AD230" s="14"/>
    </row>
    <row r="231" spans="1:30" ht="86.45" customHeight="1" x14ac:dyDescent="0.75">
      <c r="A231" s="331"/>
      <c r="B231" s="325"/>
      <c r="C231" s="331"/>
      <c r="D231" s="349"/>
      <c r="E231" s="349"/>
      <c r="F231" s="216" t="s">
        <v>27</v>
      </c>
      <c r="G231" s="223">
        <v>50</v>
      </c>
      <c r="H231" s="234">
        <v>339.07</v>
      </c>
      <c r="I231" s="234">
        <f>+H231*(3.5/100)</f>
        <v>11.867450000000002</v>
      </c>
      <c r="J231" s="233">
        <v>0</v>
      </c>
      <c r="K231" s="233">
        <v>0</v>
      </c>
      <c r="L231" s="234">
        <f>+H231*(11.5/100)</f>
        <v>38.993050000000004</v>
      </c>
      <c r="M231" s="237">
        <v>45.136000000000003</v>
      </c>
      <c r="N231" s="233">
        <v>0</v>
      </c>
      <c r="O231" s="233">
        <f>+I231+L231</f>
        <v>50.860500000000002</v>
      </c>
      <c r="P231" s="233">
        <f>+((J231+K231)+(M231+N231))</f>
        <v>45.136000000000003</v>
      </c>
      <c r="Q231" s="233">
        <f t="shared" si="54"/>
        <v>5.724499999999999</v>
      </c>
      <c r="R231" s="216" t="s">
        <v>73</v>
      </c>
      <c r="S231" s="271" t="s">
        <v>74</v>
      </c>
      <c r="T231" s="222" t="s">
        <v>282</v>
      </c>
      <c r="U231" s="222" t="s">
        <v>283</v>
      </c>
      <c r="V231" s="241"/>
      <c r="W231" s="14"/>
      <c r="X231" s="14"/>
      <c r="Y231" s="14"/>
      <c r="Z231" s="14"/>
      <c r="AA231" s="14"/>
      <c r="AB231" s="14"/>
      <c r="AC231" s="14"/>
      <c r="AD231" s="14"/>
    </row>
    <row r="232" spans="1:30" ht="86.45" customHeight="1" x14ac:dyDescent="0.75">
      <c r="A232" s="253"/>
      <c r="B232" s="325"/>
      <c r="C232" s="331"/>
      <c r="D232" s="349"/>
      <c r="E232" s="351" t="s">
        <v>1361</v>
      </c>
      <c r="F232" s="254" t="s">
        <v>20</v>
      </c>
      <c r="G232" s="265">
        <v>20</v>
      </c>
      <c r="H232" s="266">
        <v>56.16</v>
      </c>
      <c r="I232" s="266">
        <v>0.28100000000000003</v>
      </c>
      <c r="J232" s="255">
        <v>0</v>
      </c>
      <c r="K232" s="255">
        <v>0.28100000000000003</v>
      </c>
      <c r="L232" s="266">
        <v>4.774</v>
      </c>
      <c r="M232" s="256">
        <v>0</v>
      </c>
      <c r="N232" s="266">
        <v>4.774</v>
      </c>
      <c r="O232" s="255">
        <v>5.0540000000000003</v>
      </c>
      <c r="P232" s="255">
        <v>5.0549999999999997</v>
      </c>
      <c r="Q232" s="255">
        <f t="shared" si="54"/>
        <v>-9.9999999999944578E-4</v>
      </c>
      <c r="R232" s="254"/>
      <c r="S232" s="270"/>
      <c r="T232" s="222"/>
      <c r="U232" s="222"/>
      <c r="V232" s="241"/>
      <c r="W232" s="14"/>
      <c r="X232" s="14"/>
      <c r="Y232" s="14"/>
      <c r="Z232" s="14"/>
      <c r="AA232" s="14"/>
      <c r="AB232" s="14"/>
      <c r="AC232" s="14"/>
      <c r="AD232" s="14"/>
    </row>
    <row r="233" spans="1:30" ht="86.45" customHeight="1" x14ac:dyDescent="0.75">
      <c r="A233" s="253"/>
      <c r="B233" s="325"/>
      <c r="C233" s="331"/>
      <c r="D233" s="349"/>
      <c r="E233" s="351"/>
      <c r="F233" s="254" t="s">
        <v>21</v>
      </c>
      <c r="G233" s="265">
        <v>40</v>
      </c>
      <c r="H233" s="266">
        <v>282.86</v>
      </c>
      <c r="I233" s="266">
        <v>2.8279999999999998</v>
      </c>
      <c r="J233" s="255">
        <v>0</v>
      </c>
      <c r="K233" s="255">
        <v>2.82</v>
      </c>
      <c r="L233" s="266">
        <v>28.286000000000001</v>
      </c>
      <c r="M233" s="256">
        <v>0</v>
      </c>
      <c r="N233" s="266">
        <v>28.286999999999999</v>
      </c>
      <c r="O233" s="255">
        <v>31.11</v>
      </c>
      <c r="P233" s="255">
        <v>31.11</v>
      </c>
      <c r="Q233" s="255">
        <f t="shared" si="54"/>
        <v>0</v>
      </c>
      <c r="R233" s="254"/>
      <c r="S233" s="270"/>
      <c r="T233" s="222"/>
      <c r="U233" s="222"/>
      <c r="V233" s="241"/>
      <c r="W233" s="14"/>
      <c r="X233" s="14"/>
      <c r="Y233" s="14"/>
      <c r="Z233" s="14"/>
      <c r="AA233" s="14"/>
      <c r="AB233" s="14"/>
      <c r="AC233" s="14"/>
      <c r="AD233" s="14"/>
    </row>
    <row r="234" spans="1:30" ht="86.45" customHeight="1" x14ac:dyDescent="0.75">
      <c r="A234" s="253"/>
      <c r="B234" s="325"/>
      <c r="C234" s="331"/>
      <c r="D234" s="349"/>
      <c r="E234" s="351"/>
      <c r="F234" s="254" t="s">
        <v>22</v>
      </c>
      <c r="G234" s="265">
        <v>40</v>
      </c>
      <c r="H234" s="266">
        <v>352.6</v>
      </c>
      <c r="I234" s="266">
        <v>7.0519999999999996</v>
      </c>
      <c r="J234" s="255">
        <v>0</v>
      </c>
      <c r="K234" s="255">
        <v>6.96</v>
      </c>
      <c r="L234" s="266">
        <v>37.023000000000003</v>
      </c>
      <c r="M234" s="256">
        <v>46.48</v>
      </c>
      <c r="N234" s="266">
        <v>0</v>
      </c>
      <c r="O234" s="255">
        <v>44.075000000000003</v>
      </c>
      <c r="P234" s="255">
        <v>53.44</v>
      </c>
      <c r="Q234" s="255">
        <f t="shared" si="54"/>
        <v>-9.3649999999999949</v>
      </c>
      <c r="R234" s="254"/>
      <c r="S234" s="270"/>
      <c r="T234" s="222"/>
      <c r="U234" s="222">
        <f>28.5+6.4152+7.12+7.36</f>
        <v>49.395199999999996</v>
      </c>
      <c r="V234" s="241"/>
      <c r="W234" s="14"/>
      <c r="X234" s="14"/>
      <c r="Y234" s="14"/>
      <c r="Z234" s="14"/>
      <c r="AA234" s="14"/>
      <c r="AB234" s="14"/>
      <c r="AC234" s="14"/>
      <c r="AD234" s="14"/>
    </row>
    <row r="235" spans="1:30" ht="86.45" customHeight="1" x14ac:dyDescent="0.75">
      <c r="A235" s="253"/>
      <c r="B235" s="325"/>
      <c r="C235" s="331"/>
      <c r="D235" s="349"/>
      <c r="E235" s="351"/>
      <c r="F235" s="265" t="s">
        <v>24</v>
      </c>
      <c r="G235" s="265">
        <v>40</v>
      </c>
      <c r="H235" s="266">
        <v>255.11</v>
      </c>
      <c r="I235" s="266">
        <v>7.016</v>
      </c>
      <c r="J235" s="255">
        <v>0</v>
      </c>
      <c r="K235" s="255">
        <v>7.016</v>
      </c>
      <c r="L235" s="266">
        <v>28.062000000000001</v>
      </c>
      <c r="M235" s="256">
        <v>28.062000000000001</v>
      </c>
      <c r="N235" s="266">
        <v>0</v>
      </c>
      <c r="O235" s="255">
        <v>35.078000000000003</v>
      </c>
      <c r="P235" s="255">
        <v>35.078000000000003</v>
      </c>
      <c r="Q235" s="255">
        <f t="shared" si="54"/>
        <v>0</v>
      </c>
      <c r="R235" s="254"/>
      <c r="S235" s="270"/>
      <c r="T235" s="222"/>
      <c r="U235" s="222"/>
      <c r="V235" s="241"/>
      <c r="W235" s="14"/>
      <c r="X235" s="14"/>
      <c r="Y235" s="14"/>
      <c r="Z235" s="14"/>
      <c r="AA235" s="14"/>
      <c r="AB235" s="14"/>
      <c r="AC235" s="14"/>
      <c r="AD235" s="14"/>
    </row>
    <row r="236" spans="1:30" ht="86.45" customHeight="1" x14ac:dyDescent="0.75">
      <c r="A236" s="253"/>
      <c r="B236" s="326"/>
      <c r="C236" s="332"/>
      <c r="D236" s="348"/>
      <c r="E236" s="352"/>
      <c r="F236" s="254" t="s">
        <v>27</v>
      </c>
      <c r="G236" s="265">
        <v>50</v>
      </c>
      <c r="H236" s="266">
        <v>339.07</v>
      </c>
      <c r="I236" s="266">
        <v>11.867000000000001</v>
      </c>
      <c r="J236" s="255">
        <v>0</v>
      </c>
      <c r="K236" s="255">
        <v>11.867000000000001</v>
      </c>
      <c r="L236" s="266">
        <v>38.993000000000002</v>
      </c>
      <c r="M236" s="256">
        <v>50.8</v>
      </c>
      <c r="N236" s="266">
        <v>0</v>
      </c>
      <c r="O236" s="255">
        <v>50.860999999999997</v>
      </c>
      <c r="P236" s="255">
        <v>62.667000000000002</v>
      </c>
      <c r="Q236" s="255">
        <f t="shared" si="54"/>
        <v>-11.806000000000004</v>
      </c>
      <c r="R236" s="254"/>
      <c r="S236" s="270"/>
      <c r="T236" s="222"/>
      <c r="U236" s="222"/>
      <c r="V236" s="241"/>
      <c r="W236" s="14"/>
      <c r="X236" s="14"/>
      <c r="Y236" s="14"/>
      <c r="Z236" s="14"/>
      <c r="AA236" s="14"/>
      <c r="AB236" s="14"/>
      <c r="AC236" s="14"/>
      <c r="AD236" s="14"/>
    </row>
    <row r="237" spans="1:30" ht="86.45" customHeight="1" x14ac:dyDescent="0.75">
      <c r="A237" s="216">
        <v>85</v>
      </c>
      <c r="B237" s="220" t="s">
        <v>596</v>
      </c>
      <c r="C237" s="216" t="s">
        <v>511</v>
      </c>
      <c r="D237" s="221">
        <v>162019000354</v>
      </c>
      <c r="E237" s="221"/>
      <c r="F237" s="216" t="s">
        <v>20</v>
      </c>
      <c r="G237" s="216">
        <v>5</v>
      </c>
      <c r="H237" s="233">
        <v>6.5838700000000001</v>
      </c>
      <c r="I237" s="233">
        <f>+H237*0.005</f>
        <v>3.291935E-2</v>
      </c>
      <c r="J237" s="233">
        <v>0</v>
      </c>
      <c r="K237" s="233">
        <f>(((30)*1000)/1000000)</f>
        <v>0.03</v>
      </c>
      <c r="L237" s="233">
        <f>+H237*(8.5/100)</f>
        <v>0.55962895000000001</v>
      </c>
      <c r="M237" s="237">
        <v>0</v>
      </c>
      <c r="N237" s="233">
        <f>(((475)*1000)/1000000)</f>
        <v>0.47499999999999998</v>
      </c>
      <c r="O237" s="233">
        <f t="shared" si="47"/>
        <v>0.59254830000000003</v>
      </c>
      <c r="P237" s="233">
        <f t="shared" si="52"/>
        <v>0.505</v>
      </c>
      <c r="Q237" s="233">
        <f t="shared" si="53"/>
        <v>8.7548300000000023E-2</v>
      </c>
      <c r="R237" s="217" t="s">
        <v>284</v>
      </c>
      <c r="S237" s="216" t="s">
        <v>1003</v>
      </c>
      <c r="T237" s="222" t="s">
        <v>282</v>
      </c>
      <c r="U237" s="222" t="s">
        <v>283</v>
      </c>
      <c r="V237" s="222"/>
    </row>
    <row r="238" spans="1:30" ht="86.45" customHeight="1" x14ac:dyDescent="0.75">
      <c r="A238" s="216">
        <v>86</v>
      </c>
      <c r="B238" s="220" t="s">
        <v>1287</v>
      </c>
      <c r="C238" s="216" t="s">
        <v>511</v>
      </c>
      <c r="D238" s="221">
        <v>178099033200</v>
      </c>
      <c r="E238" s="221"/>
      <c r="F238" s="216" t="s">
        <v>20</v>
      </c>
      <c r="G238" s="216">
        <v>1</v>
      </c>
      <c r="H238" s="233">
        <v>5.9490600000000002</v>
      </c>
      <c r="I238" s="233">
        <f>+H238*0.005</f>
        <v>2.9745300000000002E-2</v>
      </c>
      <c r="J238" s="233">
        <v>0</v>
      </c>
      <c r="K238" s="233">
        <v>0</v>
      </c>
      <c r="L238" s="233">
        <f>+H238*(8.5/100)</f>
        <v>0.50567010000000001</v>
      </c>
      <c r="M238" s="237">
        <v>0</v>
      </c>
      <c r="N238" s="233">
        <v>0</v>
      </c>
      <c r="O238" s="233">
        <f t="shared" si="47"/>
        <v>0.53541539999999999</v>
      </c>
      <c r="P238" s="233">
        <f t="shared" si="52"/>
        <v>0</v>
      </c>
      <c r="Q238" s="233">
        <f t="shared" si="53"/>
        <v>0.53541539999999999</v>
      </c>
      <c r="R238" s="217" t="s">
        <v>19</v>
      </c>
      <c r="S238" s="216" t="s">
        <v>449</v>
      </c>
      <c r="T238" s="222" t="s">
        <v>344</v>
      </c>
      <c r="U238" s="222"/>
      <c r="V238" s="222"/>
    </row>
    <row r="239" spans="1:30" ht="86.45" customHeight="1" x14ac:dyDescent="0.75">
      <c r="A239" s="333">
        <v>87</v>
      </c>
      <c r="B239" s="353" t="s">
        <v>595</v>
      </c>
      <c r="C239" s="333" t="s">
        <v>511</v>
      </c>
      <c r="D239" s="354">
        <v>30949005778</v>
      </c>
      <c r="E239" s="221"/>
      <c r="F239" s="216" t="s">
        <v>20</v>
      </c>
      <c r="G239" s="216">
        <v>6</v>
      </c>
      <c r="H239" s="233">
        <v>36.396932999999997</v>
      </c>
      <c r="I239" s="233">
        <f>+H239*0.005</f>
        <v>0.18198466499999999</v>
      </c>
      <c r="J239" s="233">
        <v>0</v>
      </c>
      <c r="K239" s="233">
        <v>0</v>
      </c>
      <c r="L239" s="233">
        <f>+H239*(8.5/100)</f>
        <v>3.0937393050000002</v>
      </c>
      <c r="M239" s="237">
        <v>0</v>
      </c>
      <c r="N239" s="233">
        <v>0</v>
      </c>
      <c r="O239" s="233">
        <f>+I239+L239</f>
        <v>3.27572397</v>
      </c>
      <c r="P239" s="233">
        <f>+((J239+K239)+(M239+N239))</f>
        <v>0</v>
      </c>
      <c r="Q239" s="233">
        <f>+O239-P239</f>
        <v>3.27572397</v>
      </c>
      <c r="R239" s="217" t="s">
        <v>19</v>
      </c>
      <c r="S239" s="216" t="s">
        <v>446</v>
      </c>
      <c r="T239" s="222" t="s">
        <v>344</v>
      </c>
      <c r="U239" s="222"/>
      <c r="V239" s="222"/>
    </row>
    <row r="240" spans="1:30" ht="86.45" customHeight="1" x14ac:dyDescent="0.75">
      <c r="A240" s="333"/>
      <c r="B240" s="353"/>
      <c r="C240" s="333"/>
      <c r="D240" s="354"/>
      <c r="E240" s="221"/>
      <c r="F240" s="216" t="s">
        <v>21</v>
      </c>
      <c r="G240" s="216">
        <v>6</v>
      </c>
      <c r="H240" s="233">
        <v>7.8060499999999999</v>
      </c>
      <c r="I240" s="233">
        <f>+H240*0.01</f>
        <v>7.8060500000000005E-2</v>
      </c>
      <c r="J240" s="233">
        <v>0</v>
      </c>
      <c r="K240" s="233">
        <v>0</v>
      </c>
      <c r="L240" s="233">
        <f>+H240*(10/100)</f>
        <v>0.78060499999999999</v>
      </c>
      <c r="M240" s="237">
        <v>0</v>
      </c>
      <c r="N240" s="233">
        <v>0</v>
      </c>
      <c r="O240" s="233">
        <f t="shared" si="47"/>
        <v>0.85866549999999997</v>
      </c>
      <c r="P240" s="233">
        <f t="shared" si="52"/>
        <v>0</v>
      </c>
      <c r="Q240" s="233">
        <f t="shared" si="53"/>
        <v>0.85866549999999997</v>
      </c>
      <c r="R240" s="217" t="s">
        <v>19</v>
      </c>
      <c r="S240" s="216" t="s">
        <v>489</v>
      </c>
      <c r="T240" s="222" t="s">
        <v>344</v>
      </c>
      <c r="U240" s="222"/>
      <c r="V240" s="222"/>
    </row>
    <row r="241" spans="1:30" ht="86.45" customHeight="1" x14ac:dyDescent="0.75">
      <c r="A241" s="216">
        <v>88</v>
      </c>
      <c r="B241" s="220" t="s">
        <v>1288</v>
      </c>
      <c r="C241" s="216" t="s">
        <v>511</v>
      </c>
      <c r="D241" s="221">
        <v>252559304866</v>
      </c>
      <c r="E241" s="221"/>
      <c r="F241" s="216" t="s">
        <v>20</v>
      </c>
      <c r="G241" s="216">
        <v>1.5</v>
      </c>
      <c r="H241" s="233">
        <v>4.5993700000000004</v>
      </c>
      <c r="I241" s="233">
        <f t="shared" ref="I241:I249" si="55">+H241*0.005</f>
        <v>2.2996850000000003E-2</v>
      </c>
      <c r="J241" s="233">
        <v>0</v>
      </c>
      <c r="K241" s="233">
        <v>0</v>
      </c>
      <c r="L241" s="233">
        <f t="shared" ref="L241:L249" si="56">+H241*(8.5/100)</f>
        <v>0.39094645000000006</v>
      </c>
      <c r="M241" s="237">
        <v>0</v>
      </c>
      <c r="N241" s="233">
        <v>0</v>
      </c>
      <c r="O241" s="233">
        <f t="shared" si="47"/>
        <v>0.41394330000000007</v>
      </c>
      <c r="P241" s="233">
        <f t="shared" si="52"/>
        <v>0</v>
      </c>
      <c r="Q241" s="233">
        <f t="shared" si="53"/>
        <v>0.41394330000000007</v>
      </c>
      <c r="R241" s="217" t="s">
        <v>19</v>
      </c>
      <c r="S241" s="216" t="s">
        <v>447</v>
      </c>
      <c r="T241" s="222" t="s">
        <v>344</v>
      </c>
      <c r="U241" s="222"/>
      <c r="V241" s="222"/>
    </row>
    <row r="242" spans="1:30" s="244" customFormat="1" ht="86.45" customHeight="1" x14ac:dyDescent="0.75">
      <c r="A242" s="330">
        <v>89</v>
      </c>
      <c r="B242" s="324" t="s">
        <v>599</v>
      </c>
      <c r="C242" s="330" t="s">
        <v>511</v>
      </c>
      <c r="D242" s="347">
        <v>251019007880</v>
      </c>
      <c r="E242" s="221" t="s">
        <v>1298</v>
      </c>
      <c r="F242" s="216" t="s">
        <v>20</v>
      </c>
      <c r="G242" s="216">
        <v>4.9000000000000004</v>
      </c>
      <c r="H242" s="233">
        <v>21.926255999999999</v>
      </c>
      <c r="I242" s="233">
        <f t="shared" si="55"/>
        <v>0.10963128</v>
      </c>
      <c r="J242" s="233">
        <v>0</v>
      </c>
      <c r="K242" s="233">
        <f>((12+99)*1000)/1000000</f>
        <v>0.111</v>
      </c>
      <c r="L242" s="233">
        <f t="shared" si="56"/>
        <v>1.8637317600000001</v>
      </c>
      <c r="M242" s="237">
        <v>0</v>
      </c>
      <c r="N242" s="233">
        <f>(197+1668)*1000/1000000</f>
        <v>1.865</v>
      </c>
      <c r="O242" s="233">
        <f t="shared" si="47"/>
        <v>1.9733630400000002</v>
      </c>
      <c r="P242" s="233">
        <f t="shared" si="52"/>
        <v>1.976</v>
      </c>
      <c r="Q242" s="233">
        <f t="shared" si="53"/>
        <v>-2.6369599999997995E-3</v>
      </c>
      <c r="R242" s="217" t="s">
        <v>292</v>
      </c>
      <c r="S242" s="216" t="s">
        <v>1004</v>
      </c>
      <c r="T242" s="243" t="s">
        <v>282</v>
      </c>
      <c r="U242" s="243" t="s">
        <v>310</v>
      </c>
      <c r="V242" s="243"/>
    </row>
    <row r="243" spans="1:30" s="244" customFormat="1" ht="86.45" customHeight="1" x14ac:dyDescent="0.75">
      <c r="A243" s="332"/>
      <c r="B243" s="326"/>
      <c r="C243" s="332"/>
      <c r="D243" s="348"/>
      <c r="E243" s="260" t="s">
        <v>1322</v>
      </c>
      <c r="F243" s="254" t="s">
        <v>20</v>
      </c>
      <c r="G243" s="254">
        <v>4.9000000000000004</v>
      </c>
      <c r="H243" s="255">
        <v>19.616800000000001</v>
      </c>
      <c r="I243" s="255">
        <v>9.8084400000000002E-2</v>
      </c>
      <c r="J243" s="255">
        <v>0</v>
      </c>
      <c r="K243" s="255">
        <v>0.111</v>
      </c>
      <c r="L243" s="255">
        <v>1.6674</v>
      </c>
      <c r="M243" s="256">
        <v>0</v>
      </c>
      <c r="N243" s="255">
        <v>1.865</v>
      </c>
      <c r="O243" s="255">
        <f t="shared" si="47"/>
        <v>1.7654844000000001</v>
      </c>
      <c r="P243" s="255">
        <v>1.976</v>
      </c>
      <c r="Q243" s="255">
        <f t="shared" si="53"/>
        <v>-0.21051559999999991</v>
      </c>
      <c r="R243" s="258"/>
      <c r="S243" s="254"/>
      <c r="T243" s="243"/>
      <c r="U243" s="243"/>
      <c r="V243" s="243"/>
    </row>
    <row r="244" spans="1:30" s="244" customFormat="1" ht="86.45" customHeight="1" x14ac:dyDescent="0.75">
      <c r="A244" s="330">
        <v>90</v>
      </c>
      <c r="B244" s="324" t="s">
        <v>784</v>
      </c>
      <c r="C244" s="330" t="s">
        <v>511</v>
      </c>
      <c r="D244" s="347">
        <v>251019007000</v>
      </c>
      <c r="E244" s="221" t="s">
        <v>1298</v>
      </c>
      <c r="F244" s="216" t="s">
        <v>20</v>
      </c>
      <c r="G244" s="216">
        <v>3.7</v>
      </c>
      <c r="H244" s="233">
        <v>0.99306499999999998</v>
      </c>
      <c r="I244" s="233">
        <f t="shared" si="55"/>
        <v>4.9653249999999996E-3</v>
      </c>
      <c r="J244" s="233">
        <v>0</v>
      </c>
      <c r="K244" s="233">
        <f>(5+1)*1000/1000000</f>
        <v>6.0000000000000001E-3</v>
      </c>
      <c r="L244" s="233">
        <f t="shared" si="56"/>
        <v>8.4410525E-2</v>
      </c>
      <c r="M244" s="237">
        <v>0</v>
      </c>
      <c r="N244" s="233">
        <f>(75+11)*1000/1000000</f>
        <v>8.5999999999999993E-2</v>
      </c>
      <c r="O244" s="233">
        <f t="shared" si="47"/>
        <v>8.9375850000000007E-2</v>
      </c>
      <c r="P244" s="233">
        <f t="shared" si="52"/>
        <v>9.1999999999999998E-2</v>
      </c>
      <c r="Q244" s="233">
        <f t="shared" si="53"/>
        <v>-2.6241499999999918E-3</v>
      </c>
      <c r="R244" s="217" t="s">
        <v>284</v>
      </c>
      <c r="S244" s="216" t="s">
        <v>1005</v>
      </c>
      <c r="T244" s="243" t="s">
        <v>282</v>
      </c>
      <c r="U244" s="243" t="s">
        <v>310</v>
      </c>
      <c r="V244" s="243"/>
    </row>
    <row r="245" spans="1:30" s="244" customFormat="1" ht="86.45" customHeight="1" x14ac:dyDescent="0.75">
      <c r="A245" s="332"/>
      <c r="B245" s="326"/>
      <c r="C245" s="332"/>
      <c r="D245" s="348"/>
      <c r="E245" s="257" t="s">
        <v>1322</v>
      </c>
      <c r="F245" s="254" t="s">
        <v>20</v>
      </c>
      <c r="G245" s="254">
        <v>3.7</v>
      </c>
      <c r="H245" s="255">
        <v>0.87460000000000004</v>
      </c>
      <c r="I245" s="255">
        <v>7.4183000000000001E-3</v>
      </c>
      <c r="J245" s="255">
        <v>0</v>
      </c>
      <c r="K245" s="255">
        <v>6.0000000000000001E-3</v>
      </c>
      <c r="L245" s="255">
        <v>0.12611</v>
      </c>
      <c r="M245" s="256">
        <v>0</v>
      </c>
      <c r="N245" s="255">
        <f>(75+11)*1000/1000000</f>
        <v>8.5999999999999993E-2</v>
      </c>
      <c r="O245" s="255">
        <f t="shared" si="47"/>
        <v>0.13352829999999999</v>
      </c>
      <c r="P245" s="255">
        <f t="shared" si="52"/>
        <v>9.1999999999999998E-2</v>
      </c>
      <c r="Q245" s="255">
        <f t="shared" si="53"/>
        <v>4.152829999999999E-2</v>
      </c>
      <c r="R245" s="258"/>
      <c r="S245" s="254"/>
      <c r="T245" s="243"/>
      <c r="U245" s="243"/>
      <c r="V245" s="243"/>
    </row>
    <row r="246" spans="1:30" ht="86.45" customHeight="1" x14ac:dyDescent="0.75">
      <c r="A246" s="330">
        <v>91</v>
      </c>
      <c r="B246" s="330" t="s">
        <v>601</v>
      </c>
      <c r="C246" s="330" t="s">
        <v>511</v>
      </c>
      <c r="D246" s="347">
        <v>89000513</v>
      </c>
      <c r="E246" s="347" t="s">
        <v>1298</v>
      </c>
      <c r="F246" s="216" t="s">
        <v>18</v>
      </c>
      <c r="G246" s="216">
        <v>1.3</v>
      </c>
      <c r="H246" s="233">
        <v>6.7554460000000001</v>
      </c>
      <c r="I246" s="233">
        <f>+H246*0.005</f>
        <v>3.3777229999999998E-2</v>
      </c>
      <c r="J246" s="233">
        <v>0</v>
      </c>
      <c r="K246" s="233">
        <v>0</v>
      </c>
      <c r="L246" s="233">
        <f>+H246*(8.5/100)</f>
        <v>0.57421291000000008</v>
      </c>
      <c r="M246" s="237">
        <v>0</v>
      </c>
      <c r="N246" s="233">
        <v>0</v>
      </c>
      <c r="O246" s="233">
        <f>+I246+L246</f>
        <v>0.60799014000000007</v>
      </c>
      <c r="P246" s="233">
        <f>+((J246+K246)+(M246+N246))</f>
        <v>0</v>
      </c>
      <c r="Q246" s="233">
        <f>+O246-P246</f>
        <v>0.60799014000000007</v>
      </c>
      <c r="R246" s="217" t="s">
        <v>19</v>
      </c>
      <c r="S246" s="216" t="s">
        <v>346</v>
      </c>
      <c r="T246" s="222" t="s">
        <v>344</v>
      </c>
      <c r="U246" s="222"/>
      <c r="V246" s="222"/>
    </row>
    <row r="247" spans="1:30" ht="86.45" customHeight="1" x14ac:dyDescent="0.75">
      <c r="A247" s="331"/>
      <c r="B247" s="331"/>
      <c r="C247" s="331"/>
      <c r="D247" s="349"/>
      <c r="E247" s="348"/>
      <c r="F247" s="216" t="s">
        <v>20</v>
      </c>
      <c r="G247" s="216">
        <v>1.5</v>
      </c>
      <c r="H247" s="233">
        <v>10.869918999999999</v>
      </c>
      <c r="I247" s="233">
        <f t="shared" si="55"/>
        <v>5.4349595000000001E-2</v>
      </c>
      <c r="J247" s="233">
        <v>0</v>
      </c>
      <c r="K247" s="233">
        <v>0</v>
      </c>
      <c r="L247" s="233">
        <f t="shared" si="56"/>
        <v>0.92394311500000004</v>
      </c>
      <c r="M247" s="237">
        <v>0</v>
      </c>
      <c r="N247" s="233">
        <v>0</v>
      </c>
      <c r="O247" s="233">
        <f t="shared" si="47"/>
        <v>0.97829271000000007</v>
      </c>
      <c r="P247" s="233">
        <f t="shared" si="52"/>
        <v>0</v>
      </c>
      <c r="Q247" s="233">
        <f t="shared" si="53"/>
        <v>0.97829271000000007</v>
      </c>
      <c r="R247" s="217" t="s">
        <v>19</v>
      </c>
      <c r="S247" s="216" t="s">
        <v>449</v>
      </c>
      <c r="T247" s="222" t="s">
        <v>344</v>
      </c>
      <c r="U247" s="222"/>
      <c r="V247" s="222"/>
    </row>
    <row r="248" spans="1:30" ht="86.45" customHeight="1" x14ac:dyDescent="0.75">
      <c r="A248" s="216">
        <v>92</v>
      </c>
      <c r="B248" s="220" t="s">
        <v>785</v>
      </c>
      <c r="C248" s="216" t="s">
        <v>511</v>
      </c>
      <c r="D248" s="221">
        <v>420819006920</v>
      </c>
      <c r="E248" s="221"/>
      <c r="F248" s="216" t="s">
        <v>20</v>
      </c>
      <c r="G248" s="216">
        <v>2</v>
      </c>
      <c r="H248" s="233">
        <v>8.2373200000000004</v>
      </c>
      <c r="I248" s="233">
        <f t="shared" si="55"/>
        <v>4.1186600000000004E-2</v>
      </c>
      <c r="J248" s="233">
        <v>0</v>
      </c>
      <c r="K248" s="233">
        <f>(((37)*1000)/1000000)</f>
        <v>3.6999999999999998E-2</v>
      </c>
      <c r="L248" s="233">
        <f t="shared" si="56"/>
        <v>0.70017220000000013</v>
      </c>
      <c r="M248" s="237">
        <v>0</v>
      </c>
      <c r="N248" s="233">
        <f>(((619)*1000)/1000000)</f>
        <v>0.61899999999999999</v>
      </c>
      <c r="O248" s="233">
        <f t="shared" si="47"/>
        <v>0.7413588000000001</v>
      </c>
      <c r="P248" s="233">
        <f t="shared" si="52"/>
        <v>0.65600000000000003</v>
      </c>
      <c r="Q248" s="233">
        <f t="shared" si="53"/>
        <v>8.5358800000000068E-2</v>
      </c>
      <c r="R248" s="217" t="s">
        <v>284</v>
      </c>
      <c r="S248" s="216" t="s">
        <v>1006</v>
      </c>
      <c r="T248" s="222" t="s">
        <v>282</v>
      </c>
      <c r="U248" s="222" t="s">
        <v>283</v>
      </c>
      <c r="V248" s="222"/>
    </row>
    <row r="249" spans="1:30" s="244" customFormat="1" ht="86.45" customHeight="1" x14ac:dyDescent="0.75">
      <c r="A249" s="330">
        <v>93</v>
      </c>
      <c r="B249" s="324" t="s">
        <v>786</v>
      </c>
      <c r="C249" s="330" t="s">
        <v>511</v>
      </c>
      <c r="D249" s="347">
        <v>430019003650</v>
      </c>
      <c r="E249" s="221" t="s">
        <v>1298</v>
      </c>
      <c r="F249" s="247" t="s">
        <v>20</v>
      </c>
      <c r="G249" s="216">
        <v>5.05</v>
      </c>
      <c r="H249" s="233">
        <v>9.9372000000000007</v>
      </c>
      <c r="I249" s="233">
        <f t="shared" si="55"/>
        <v>4.9686000000000008E-2</v>
      </c>
      <c r="J249" s="233">
        <v>0</v>
      </c>
      <c r="K249" s="233">
        <f>((16+33)*1000/1000000)</f>
        <v>4.9000000000000002E-2</v>
      </c>
      <c r="L249" s="233">
        <f t="shared" si="56"/>
        <v>0.84466200000000013</v>
      </c>
      <c r="M249" s="237">
        <v>0</v>
      </c>
      <c r="N249" s="233">
        <f>((261+545)*1000/1000000)</f>
        <v>0.80600000000000005</v>
      </c>
      <c r="O249" s="233">
        <f t="shared" si="47"/>
        <v>0.89434800000000014</v>
      </c>
      <c r="P249" s="233">
        <f t="shared" si="52"/>
        <v>0.85500000000000009</v>
      </c>
      <c r="Q249" s="233">
        <f t="shared" si="53"/>
        <v>3.934800000000005E-2</v>
      </c>
      <c r="R249" s="217" t="s">
        <v>284</v>
      </c>
      <c r="S249" s="216" t="s">
        <v>939</v>
      </c>
      <c r="T249" s="243" t="s">
        <v>282</v>
      </c>
      <c r="U249" s="243" t="s">
        <v>283</v>
      </c>
      <c r="V249" s="243"/>
    </row>
    <row r="250" spans="1:30" s="244" customFormat="1" ht="86.45" customHeight="1" x14ac:dyDescent="0.75">
      <c r="A250" s="332"/>
      <c r="B250" s="326"/>
      <c r="C250" s="332"/>
      <c r="D250" s="348"/>
      <c r="E250" s="260" t="s">
        <v>1328</v>
      </c>
      <c r="F250" s="259" t="s">
        <v>20</v>
      </c>
      <c r="G250" s="254">
        <v>5.05</v>
      </c>
      <c r="H250" s="255">
        <v>9.4600000000000009</v>
      </c>
      <c r="I250" s="255">
        <v>0.05</v>
      </c>
      <c r="J250" s="255">
        <v>0</v>
      </c>
      <c r="K250" s="255">
        <v>0.05</v>
      </c>
      <c r="L250" s="255">
        <v>0.8</v>
      </c>
      <c r="M250" s="256">
        <v>0</v>
      </c>
      <c r="N250" s="255">
        <v>0.81</v>
      </c>
      <c r="O250" s="255">
        <v>0.85</v>
      </c>
      <c r="P250" s="255">
        <v>0.85499999999999998</v>
      </c>
      <c r="Q250" s="255">
        <v>-3.0000000000000001E-3</v>
      </c>
      <c r="R250" s="258"/>
      <c r="S250" s="254"/>
      <c r="T250" s="243"/>
      <c r="U250" s="243"/>
      <c r="V250" s="243"/>
    </row>
    <row r="251" spans="1:30" s="244" customFormat="1" ht="86.45" customHeight="1" x14ac:dyDescent="0.75">
      <c r="A251" s="330">
        <v>94</v>
      </c>
      <c r="B251" s="324" t="s">
        <v>787</v>
      </c>
      <c r="C251" s="330" t="s">
        <v>511</v>
      </c>
      <c r="D251" s="347">
        <v>38019025880</v>
      </c>
      <c r="E251" s="347" t="s">
        <v>1298</v>
      </c>
      <c r="F251" s="216" t="s">
        <v>20</v>
      </c>
      <c r="G251" s="216">
        <v>7</v>
      </c>
      <c r="H251" s="233">
        <v>19.02075</v>
      </c>
      <c r="I251" s="233">
        <f>+H251*0.005</f>
        <v>9.5103750000000001E-2</v>
      </c>
      <c r="J251" s="233">
        <v>0</v>
      </c>
      <c r="K251" s="233">
        <f>((47+46)*1000/1000000)</f>
        <v>9.2999999999999999E-2</v>
      </c>
      <c r="L251" s="233">
        <f>+H251*(8.5/100)</f>
        <v>1.6167637500000001</v>
      </c>
      <c r="M251" s="237">
        <f>(2.26+1.64+1.22+1.5+1.62+0.93+0.96+1.95)</f>
        <v>12.079999999999998</v>
      </c>
      <c r="N251" s="233">
        <f>((784+771)*1000/1000000)</f>
        <v>1.5549999999999999</v>
      </c>
      <c r="O251" s="233">
        <f>+I251+L251</f>
        <v>1.7118675000000001</v>
      </c>
      <c r="P251" s="233">
        <f>+((J251+K251)+(M251+N251))</f>
        <v>13.727999999999998</v>
      </c>
      <c r="Q251" s="233">
        <f>+O251-P251</f>
        <v>-12.016132499999998</v>
      </c>
      <c r="R251" s="217" t="s">
        <v>292</v>
      </c>
      <c r="S251" s="216" t="s">
        <v>973</v>
      </c>
      <c r="T251" s="243" t="s">
        <v>282</v>
      </c>
      <c r="U251" s="243" t="s">
        <v>310</v>
      </c>
      <c r="V251" s="243"/>
    </row>
    <row r="252" spans="1:30" s="244" customFormat="1" ht="86.45" customHeight="1" x14ac:dyDescent="0.75">
      <c r="A252" s="331"/>
      <c r="B252" s="325"/>
      <c r="C252" s="331"/>
      <c r="D252" s="349"/>
      <c r="E252" s="349"/>
      <c r="F252" s="216" t="s">
        <v>21</v>
      </c>
      <c r="G252" s="216">
        <v>7</v>
      </c>
      <c r="H252" s="233">
        <v>45.720359000000002</v>
      </c>
      <c r="I252" s="233">
        <f>+H252*0.01</f>
        <v>0.45720359000000005</v>
      </c>
      <c r="J252" s="233">
        <v>0</v>
      </c>
      <c r="K252" s="233">
        <f>((24+72+45+47+48+49+47+38+44+40)*1000)/1000000</f>
        <v>0.45400000000000001</v>
      </c>
      <c r="L252" s="233">
        <f>+H252*(10/100)</f>
        <v>4.5720359000000004</v>
      </c>
      <c r="M252" s="237">
        <v>0</v>
      </c>
      <c r="N252" s="233">
        <f>((394+564+449+469+480+487+467+378+440+400)*1000)/1000000</f>
        <v>4.5279999999999996</v>
      </c>
      <c r="O252" s="233">
        <f t="shared" si="47"/>
        <v>5.0292394900000001</v>
      </c>
      <c r="P252" s="233">
        <f t="shared" si="52"/>
        <v>4.9819999999999993</v>
      </c>
      <c r="Q252" s="233">
        <f t="shared" si="53"/>
        <v>4.7239490000000828E-2</v>
      </c>
      <c r="R252" s="217" t="s">
        <v>284</v>
      </c>
      <c r="S252" s="216" t="s">
        <v>1007</v>
      </c>
      <c r="T252" s="243" t="s">
        <v>282</v>
      </c>
      <c r="U252" s="243" t="s">
        <v>283</v>
      </c>
      <c r="V252" s="243"/>
    </row>
    <row r="253" spans="1:30" s="244" customFormat="1" ht="86.45" customHeight="1" x14ac:dyDescent="0.75">
      <c r="A253" s="331"/>
      <c r="B253" s="325"/>
      <c r="C253" s="331"/>
      <c r="D253" s="349"/>
      <c r="E253" s="349"/>
      <c r="F253" s="216" t="s">
        <v>22</v>
      </c>
      <c r="G253" s="216">
        <v>6.73</v>
      </c>
      <c r="H253" s="233">
        <f>44420827/1000000</f>
        <v>44.420827000000003</v>
      </c>
      <c r="I253" s="233">
        <f>+H253*0.02</f>
        <v>0.88841654000000003</v>
      </c>
      <c r="J253" s="233">
        <v>0</v>
      </c>
      <c r="K253" s="233">
        <f>((84+773)*1000)/1000000</f>
        <v>0.85699999999999998</v>
      </c>
      <c r="L253" s="233">
        <f>+H253*(10.5/100)</f>
        <v>4.6641868349999998</v>
      </c>
      <c r="M253" s="237">
        <v>0</v>
      </c>
      <c r="N253" s="233">
        <f>((441+728+498+419+340+172+499+492+452+448)*1000)/1000000</f>
        <v>4.4889999999999999</v>
      </c>
      <c r="O253" s="233">
        <f t="shared" si="47"/>
        <v>5.5526033749999995</v>
      </c>
      <c r="P253" s="233">
        <f t="shared" si="52"/>
        <v>5.3460000000000001</v>
      </c>
      <c r="Q253" s="233">
        <f t="shared" si="53"/>
        <v>0.20660337499999937</v>
      </c>
      <c r="R253" s="216" t="s">
        <v>19</v>
      </c>
      <c r="S253" s="216" t="s">
        <v>75</v>
      </c>
      <c r="T253" s="243" t="s">
        <v>282</v>
      </c>
      <c r="U253" s="243" t="s">
        <v>283</v>
      </c>
      <c r="V253" s="243"/>
      <c r="W253" s="245"/>
      <c r="X253" s="245"/>
      <c r="Y253" s="245"/>
      <c r="Z253" s="245"/>
      <c r="AA253" s="245"/>
      <c r="AB253" s="245"/>
      <c r="AC253" s="245"/>
      <c r="AD253" s="245"/>
    </row>
    <row r="254" spans="1:30" s="244" customFormat="1" ht="86.45" customHeight="1" x14ac:dyDescent="0.75">
      <c r="A254" s="331"/>
      <c r="B254" s="325"/>
      <c r="C254" s="331"/>
      <c r="D254" s="349"/>
      <c r="E254" s="348"/>
      <c r="F254" s="216" t="s">
        <v>24</v>
      </c>
      <c r="G254" s="223">
        <v>6.73</v>
      </c>
      <c r="H254" s="234">
        <v>32.303148999999998</v>
      </c>
      <c r="I254" s="233">
        <f>+H254*(2.75/100)</f>
        <v>0.88833659749999994</v>
      </c>
      <c r="J254" s="233">
        <v>0</v>
      </c>
      <c r="K254" s="234">
        <f>((128+127+128+131+118+79+8+141)*1000)/1000000</f>
        <v>0.86</v>
      </c>
      <c r="L254" s="233">
        <f>+H254*(11/100)</f>
        <v>3.5533463899999997</v>
      </c>
      <c r="M254" s="237">
        <v>0</v>
      </c>
      <c r="N254" s="233">
        <f>((1531+124+868+504+477)*1000)/1000000</f>
        <v>3.504</v>
      </c>
      <c r="O254" s="233">
        <f>+I254+L254</f>
        <v>4.4416829875000001</v>
      </c>
      <c r="P254" s="233">
        <f>+((J254+K254)+(M254+N254))</f>
        <v>4.3639999999999999</v>
      </c>
      <c r="Q254" s="233">
        <f>+O254-P254</f>
        <v>7.7682987500000245E-2</v>
      </c>
      <c r="R254" s="217" t="s">
        <v>496</v>
      </c>
      <c r="S254" s="216" t="s">
        <v>76</v>
      </c>
      <c r="T254" s="243" t="s">
        <v>282</v>
      </c>
      <c r="U254" s="243" t="s">
        <v>283</v>
      </c>
      <c r="V254" s="243"/>
      <c r="W254" s="245"/>
      <c r="X254" s="245"/>
      <c r="Y254" s="245"/>
      <c r="Z254" s="245"/>
      <c r="AA254" s="245"/>
      <c r="AB254" s="245"/>
      <c r="AC254" s="245"/>
      <c r="AD254" s="245"/>
    </row>
    <row r="255" spans="1:30" s="244" customFormat="1" ht="86.45" customHeight="1" x14ac:dyDescent="0.75">
      <c r="A255" s="331"/>
      <c r="B255" s="325"/>
      <c r="C255" s="331"/>
      <c r="D255" s="349"/>
      <c r="E255" s="351" t="s">
        <v>1381</v>
      </c>
      <c r="F255" s="254" t="s">
        <v>20</v>
      </c>
      <c r="G255" s="265">
        <v>7</v>
      </c>
      <c r="H255" s="266">
        <v>18.28</v>
      </c>
      <c r="I255" s="255">
        <v>0.09</v>
      </c>
      <c r="J255" s="255">
        <v>0</v>
      </c>
      <c r="K255" s="255">
        <v>0.09</v>
      </c>
      <c r="L255" s="255">
        <v>1.55</v>
      </c>
      <c r="M255" s="256">
        <v>0</v>
      </c>
      <c r="N255" s="255">
        <v>1.56</v>
      </c>
      <c r="O255" s="255">
        <v>1.65</v>
      </c>
      <c r="P255" s="255">
        <v>1.65</v>
      </c>
      <c r="Q255" s="255">
        <f t="shared" ref="Q255" si="57">+O255-P255</f>
        <v>0</v>
      </c>
      <c r="R255" s="258"/>
      <c r="S255" s="254"/>
      <c r="T255" s="243"/>
      <c r="U255" s="243"/>
      <c r="V255" s="243"/>
      <c r="W255" s="245"/>
      <c r="X255" s="245"/>
      <c r="Y255" s="245"/>
      <c r="Z255" s="245"/>
      <c r="AA255" s="245"/>
      <c r="AB255" s="245"/>
      <c r="AC255" s="245"/>
      <c r="AD255" s="245"/>
    </row>
    <row r="256" spans="1:30" s="244" customFormat="1" ht="86.45" customHeight="1" x14ac:dyDescent="0.75">
      <c r="A256" s="331"/>
      <c r="B256" s="325"/>
      <c r="C256" s="331"/>
      <c r="D256" s="349"/>
      <c r="E256" s="351"/>
      <c r="F256" s="254" t="s">
        <v>21</v>
      </c>
      <c r="G256" s="265">
        <v>7</v>
      </c>
      <c r="H256" s="266">
        <v>45.17</v>
      </c>
      <c r="I256" s="255">
        <v>0.45</v>
      </c>
      <c r="J256" s="255">
        <v>0</v>
      </c>
      <c r="K256" s="255">
        <v>0.45</v>
      </c>
      <c r="L256" s="255">
        <v>4.5199999999999996</v>
      </c>
      <c r="M256" s="256">
        <v>0</v>
      </c>
      <c r="N256" s="255">
        <v>4.53</v>
      </c>
      <c r="O256" s="255">
        <v>4.97</v>
      </c>
      <c r="P256" s="255">
        <v>4.9820000000000002</v>
      </c>
      <c r="Q256" s="255">
        <v>-1.2999999999999999E-2</v>
      </c>
      <c r="R256" s="258"/>
      <c r="S256" s="254"/>
      <c r="T256" s="243"/>
      <c r="U256" s="243"/>
      <c r="V256" s="243"/>
      <c r="W256" s="245"/>
      <c r="X256" s="245"/>
      <c r="Y256" s="245"/>
      <c r="Z256" s="245"/>
      <c r="AA256" s="245"/>
      <c r="AB256" s="245"/>
      <c r="AC256" s="245"/>
      <c r="AD256" s="245"/>
    </row>
    <row r="257" spans="1:30" s="244" customFormat="1" ht="86.45" customHeight="1" x14ac:dyDescent="0.75">
      <c r="A257" s="331"/>
      <c r="B257" s="325"/>
      <c r="C257" s="331"/>
      <c r="D257" s="349"/>
      <c r="E257" s="351"/>
      <c r="F257" s="254" t="s">
        <v>22</v>
      </c>
      <c r="G257" s="265">
        <v>6.73</v>
      </c>
      <c r="H257" s="266">
        <v>42.68</v>
      </c>
      <c r="I257" s="255">
        <v>0.85</v>
      </c>
      <c r="J257" s="255">
        <v>0</v>
      </c>
      <c r="K257" s="255">
        <v>0.86</v>
      </c>
      <c r="L257" s="255">
        <v>4.4800000000000004</v>
      </c>
      <c r="M257" s="256">
        <v>0</v>
      </c>
      <c r="N257" s="255">
        <v>4.49</v>
      </c>
      <c r="O257" s="255">
        <v>5.33</v>
      </c>
      <c r="P257" s="255">
        <v>5.35</v>
      </c>
      <c r="Q257" s="255">
        <v>-0.01</v>
      </c>
      <c r="R257" s="258"/>
      <c r="S257" s="254"/>
      <c r="T257" s="243"/>
      <c r="U257" s="243"/>
      <c r="V257" s="243"/>
      <c r="W257" s="245"/>
      <c r="X257" s="245"/>
      <c r="Y257" s="245"/>
      <c r="Z257" s="245"/>
      <c r="AA257" s="245"/>
      <c r="AB257" s="245"/>
      <c r="AC257" s="245"/>
      <c r="AD257" s="245"/>
    </row>
    <row r="258" spans="1:30" s="244" customFormat="1" ht="86.45" customHeight="1" x14ac:dyDescent="0.75">
      <c r="A258" s="331"/>
      <c r="B258" s="325"/>
      <c r="C258" s="331"/>
      <c r="D258" s="349"/>
      <c r="E258" s="351"/>
      <c r="F258" s="254" t="s">
        <v>24</v>
      </c>
      <c r="G258" s="265">
        <v>6.73</v>
      </c>
      <c r="H258" s="266">
        <v>31.09</v>
      </c>
      <c r="I258" s="255">
        <v>0.86</v>
      </c>
      <c r="J258" s="255">
        <v>0</v>
      </c>
      <c r="K258" s="255">
        <v>0.86</v>
      </c>
      <c r="L258" s="255">
        <v>3.42</v>
      </c>
      <c r="M258" s="256">
        <v>0</v>
      </c>
      <c r="N258" s="255">
        <v>3.504</v>
      </c>
      <c r="O258" s="255">
        <v>4.2750000000000004</v>
      </c>
      <c r="P258" s="255">
        <v>4.3639999999999999</v>
      </c>
      <c r="Q258" s="255">
        <v>-8.8999999999999996E-2</v>
      </c>
      <c r="R258" s="258"/>
      <c r="S258" s="254"/>
      <c r="T258" s="243"/>
      <c r="U258" s="243"/>
      <c r="V258" s="243"/>
      <c r="W258" s="245"/>
      <c r="X258" s="245"/>
      <c r="Y258" s="245"/>
      <c r="Z258" s="245"/>
      <c r="AA258" s="245"/>
      <c r="AB258" s="245"/>
      <c r="AC258" s="245"/>
      <c r="AD258" s="245"/>
    </row>
    <row r="259" spans="1:30" ht="86.45" customHeight="1" x14ac:dyDescent="0.75">
      <c r="A259" s="216">
        <v>95</v>
      </c>
      <c r="B259" s="220" t="s">
        <v>788</v>
      </c>
      <c r="C259" s="216" t="s">
        <v>511</v>
      </c>
      <c r="D259" s="221">
        <v>30949005778</v>
      </c>
      <c r="E259" s="221"/>
      <c r="F259" s="216" t="s">
        <v>18</v>
      </c>
      <c r="G259" s="216">
        <v>6</v>
      </c>
      <c r="H259" s="233">
        <v>18.816202000000001</v>
      </c>
      <c r="I259" s="233">
        <f t="shared" ref="I259:I265" si="58">+H259*0.005</f>
        <v>9.4081010000000007E-2</v>
      </c>
      <c r="J259" s="233">
        <v>0</v>
      </c>
      <c r="K259" s="233">
        <v>0</v>
      </c>
      <c r="L259" s="233">
        <f t="shared" ref="L259:L265" si="59">+H259*(8.5/100)</f>
        <v>1.5993771700000001</v>
      </c>
      <c r="M259" s="237">
        <v>0</v>
      </c>
      <c r="N259" s="233">
        <v>0</v>
      </c>
      <c r="O259" s="233">
        <f t="shared" si="47"/>
        <v>1.6934581800000001</v>
      </c>
      <c r="P259" s="233">
        <f t="shared" si="52"/>
        <v>0</v>
      </c>
      <c r="Q259" s="233">
        <f t="shared" si="53"/>
        <v>1.6934581800000001</v>
      </c>
      <c r="R259" s="217" t="s">
        <v>19</v>
      </c>
      <c r="S259" s="216" t="s">
        <v>346</v>
      </c>
      <c r="T259" s="222" t="s">
        <v>344</v>
      </c>
      <c r="U259" s="222"/>
      <c r="V259" s="222"/>
    </row>
    <row r="260" spans="1:30" ht="86.45" customHeight="1" x14ac:dyDescent="0.75">
      <c r="A260" s="216">
        <v>96</v>
      </c>
      <c r="B260" s="220" t="s">
        <v>789</v>
      </c>
      <c r="C260" s="216" t="s">
        <v>511</v>
      </c>
      <c r="D260" s="221">
        <v>162019000401</v>
      </c>
      <c r="E260" s="221"/>
      <c r="F260" s="216" t="s">
        <v>20</v>
      </c>
      <c r="G260" s="216">
        <v>9.9809999999999999</v>
      </c>
      <c r="H260" s="233">
        <v>1.4716800000000001</v>
      </c>
      <c r="I260" s="233">
        <f t="shared" si="58"/>
        <v>7.3584000000000011E-3</v>
      </c>
      <c r="J260" s="233">
        <v>0</v>
      </c>
      <c r="K260" s="233">
        <v>7.0000000000000001E-3</v>
      </c>
      <c r="L260" s="233">
        <f t="shared" si="59"/>
        <v>0.1250928</v>
      </c>
      <c r="M260" s="237">
        <v>0</v>
      </c>
      <c r="N260" s="233">
        <v>0.12</v>
      </c>
      <c r="O260" s="233">
        <f t="shared" si="47"/>
        <v>0.13245119999999999</v>
      </c>
      <c r="P260" s="233">
        <f t="shared" si="52"/>
        <v>0.127</v>
      </c>
      <c r="Q260" s="233">
        <f t="shared" si="53"/>
        <v>5.4511999999999894E-3</v>
      </c>
      <c r="R260" s="217" t="s">
        <v>19</v>
      </c>
      <c r="S260" s="216" t="s">
        <v>1008</v>
      </c>
      <c r="T260" s="222" t="s">
        <v>282</v>
      </c>
      <c r="U260" s="222" t="s">
        <v>283</v>
      </c>
      <c r="V260" s="222"/>
    </row>
    <row r="261" spans="1:30" ht="86.45" customHeight="1" x14ac:dyDescent="0.75">
      <c r="A261" s="333">
        <v>97</v>
      </c>
      <c r="B261" s="353" t="s">
        <v>607</v>
      </c>
      <c r="C261" s="333" t="s">
        <v>511</v>
      </c>
      <c r="D261" s="354">
        <v>138409002376</v>
      </c>
      <c r="E261" s="221"/>
      <c r="F261" s="216" t="s">
        <v>18</v>
      </c>
      <c r="G261" s="216">
        <v>6</v>
      </c>
      <c r="H261" s="233">
        <v>23.636399999999998</v>
      </c>
      <c r="I261" s="233">
        <f t="shared" si="58"/>
        <v>0.118182</v>
      </c>
      <c r="J261" s="233">
        <v>0</v>
      </c>
      <c r="K261" s="233">
        <v>0</v>
      </c>
      <c r="L261" s="233">
        <f t="shared" si="59"/>
        <v>2.0090940000000002</v>
      </c>
      <c r="M261" s="237">
        <v>0</v>
      </c>
      <c r="N261" s="233">
        <v>0</v>
      </c>
      <c r="O261" s="233">
        <f t="shared" si="47"/>
        <v>2.1272760000000002</v>
      </c>
      <c r="P261" s="233">
        <f t="shared" si="52"/>
        <v>0</v>
      </c>
      <c r="Q261" s="233">
        <f t="shared" si="53"/>
        <v>2.1272760000000002</v>
      </c>
      <c r="R261" s="217" t="s">
        <v>19</v>
      </c>
      <c r="S261" s="216" t="s">
        <v>347</v>
      </c>
      <c r="T261" s="222" t="s">
        <v>344</v>
      </c>
      <c r="U261" s="222"/>
      <c r="V261" s="222"/>
    </row>
    <row r="262" spans="1:30" ht="86.45" customHeight="1" x14ac:dyDescent="0.75">
      <c r="A262" s="333"/>
      <c r="B262" s="353"/>
      <c r="C262" s="333"/>
      <c r="D262" s="354"/>
      <c r="E262" s="221"/>
      <c r="F262" s="216" t="s">
        <v>20</v>
      </c>
      <c r="G262" s="216">
        <f>6000/1000</f>
        <v>6</v>
      </c>
      <c r="H262" s="233">
        <v>45.509875999999998</v>
      </c>
      <c r="I262" s="233">
        <f>+H262*0.005</f>
        <v>0.22754938</v>
      </c>
      <c r="J262" s="233">
        <v>0</v>
      </c>
      <c r="K262" s="233">
        <v>0</v>
      </c>
      <c r="L262" s="233">
        <f>+H262*(8.5/100)</f>
        <v>3.8683394600000001</v>
      </c>
      <c r="M262" s="237">
        <v>0</v>
      </c>
      <c r="N262" s="233">
        <v>0</v>
      </c>
      <c r="O262" s="233">
        <f>+I262+L262</f>
        <v>4.0958888399999998</v>
      </c>
      <c r="P262" s="233">
        <f>+((J262+K262)+(M262+N262))</f>
        <v>0</v>
      </c>
      <c r="Q262" s="233">
        <f>+O262-P262</f>
        <v>4.0958888399999998</v>
      </c>
      <c r="R262" s="217" t="s">
        <v>284</v>
      </c>
      <c r="S262" s="216" t="s">
        <v>1009</v>
      </c>
      <c r="T262" s="222" t="s">
        <v>282</v>
      </c>
      <c r="U262" s="222" t="s">
        <v>283</v>
      </c>
      <c r="V262" s="222"/>
    </row>
    <row r="263" spans="1:30" ht="86.45" customHeight="1" x14ac:dyDescent="0.75">
      <c r="A263" s="333"/>
      <c r="B263" s="353"/>
      <c r="C263" s="333"/>
      <c r="D263" s="354"/>
      <c r="E263" s="221"/>
      <c r="F263" s="216" t="s">
        <v>21</v>
      </c>
      <c r="G263" s="216">
        <v>6</v>
      </c>
      <c r="H263" s="233">
        <v>17.309460000000001</v>
      </c>
      <c r="I263" s="233">
        <f>+H263*0.01</f>
        <v>0.17309460000000002</v>
      </c>
      <c r="J263" s="233">
        <v>0</v>
      </c>
      <c r="K263" s="233">
        <v>0</v>
      </c>
      <c r="L263" s="233">
        <f>+H263*(10/100)</f>
        <v>1.7309460000000003</v>
      </c>
      <c r="M263" s="237">
        <v>0</v>
      </c>
      <c r="N263" s="233">
        <v>0</v>
      </c>
      <c r="O263" s="233">
        <f>+I263+L263</f>
        <v>1.9040406000000003</v>
      </c>
      <c r="P263" s="233">
        <f>+((J263+K263)+(M263+N263))</f>
        <v>0</v>
      </c>
      <c r="Q263" s="233">
        <f>+O263-P263</f>
        <v>1.9040406000000003</v>
      </c>
      <c r="R263" s="217" t="s">
        <v>284</v>
      </c>
      <c r="S263" s="216" t="s">
        <v>1010</v>
      </c>
      <c r="T263" s="222" t="s">
        <v>282</v>
      </c>
      <c r="U263" s="222" t="s">
        <v>283</v>
      </c>
      <c r="V263" s="222"/>
    </row>
    <row r="264" spans="1:30" ht="86.45" customHeight="1" x14ac:dyDescent="0.75">
      <c r="A264" s="333">
        <v>98</v>
      </c>
      <c r="B264" s="353" t="s">
        <v>894</v>
      </c>
      <c r="C264" s="333" t="s">
        <v>511</v>
      </c>
      <c r="D264" s="354">
        <v>138409001220</v>
      </c>
      <c r="E264" s="221"/>
      <c r="F264" s="216" t="s">
        <v>18</v>
      </c>
      <c r="G264" s="216">
        <v>3</v>
      </c>
      <c r="H264" s="233">
        <v>44.702449999999999</v>
      </c>
      <c r="I264" s="233">
        <f t="shared" si="58"/>
        <v>0.22351225</v>
      </c>
      <c r="J264" s="233">
        <v>0</v>
      </c>
      <c r="K264" s="233">
        <v>0</v>
      </c>
      <c r="L264" s="233">
        <f t="shared" si="59"/>
        <v>3.7997082500000001</v>
      </c>
      <c r="M264" s="237">
        <v>0</v>
      </c>
      <c r="N264" s="233">
        <v>0</v>
      </c>
      <c r="O264" s="233">
        <f t="shared" si="47"/>
        <v>4.0232204999999999</v>
      </c>
      <c r="P264" s="233">
        <f t="shared" si="52"/>
        <v>0</v>
      </c>
      <c r="Q264" s="233">
        <f t="shared" si="53"/>
        <v>4.0232204999999999</v>
      </c>
      <c r="R264" s="217" t="s">
        <v>284</v>
      </c>
      <c r="S264" s="216" t="s">
        <v>1011</v>
      </c>
      <c r="T264" s="222" t="s">
        <v>282</v>
      </c>
      <c r="U264" s="222" t="s">
        <v>283</v>
      </c>
      <c r="V264" s="222"/>
    </row>
    <row r="265" spans="1:30" ht="86.45" customHeight="1" x14ac:dyDescent="0.75">
      <c r="A265" s="333"/>
      <c r="B265" s="353"/>
      <c r="C265" s="333"/>
      <c r="D265" s="354"/>
      <c r="E265" s="221"/>
      <c r="F265" s="216" t="s">
        <v>20</v>
      </c>
      <c r="G265" s="216">
        <v>4.5</v>
      </c>
      <c r="H265" s="233">
        <v>30.715295999999999</v>
      </c>
      <c r="I265" s="233">
        <f t="shared" si="58"/>
        <v>0.15357647999999999</v>
      </c>
      <c r="J265" s="233">
        <v>0</v>
      </c>
      <c r="K265" s="233">
        <v>0</v>
      </c>
      <c r="L265" s="233">
        <f t="shared" si="59"/>
        <v>2.6108001600000001</v>
      </c>
      <c r="M265" s="237">
        <v>0</v>
      </c>
      <c r="N265" s="233">
        <v>0</v>
      </c>
      <c r="O265" s="233">
        <f t="shared" si="47"/>
        <v>2.7643766400000001</v>
      </c>
      <c r="P265" s="233">
        <f t="shared" si="52"/>
        <v>0</v>
      </c>
      <c r="Q265" s="233">
        <f t="shared" si="53"/>
        <v>2.7643766400000001</v>
      </c>
      <c r="R265" s="217" t="s">
        <v>284</v>
      </c>
      <c r="S265" s="216" t="s">
        <v>1009</v>
      </c>
      <c r="T265" s="222" t="s">
        <v>282</v>
      </c>
      <c r="U265" s="222" t="s">
        <v>283</v>
      </c>
      <c r="V265" s="222"/>
    </row>
    <row r="266" spans="1:30" ht="86.45" customHeight="1" x14ac:dyDescent="0.75">
      <c r="A266" s="333"/>
      <c r="B266" s="353"/>
      <c r="C266" s="333"/>
      <c r="D266" s="354"/>
      <c r="E266" s="221"/>
      <c r="F266" s="216" t="s">
        <v>21</v>
      </c>
      <c r="G266" s="216">
        <v>5.2</v>
      </c>
      <c r="H266" s="233">
        <v>3.72</v>
      </c>
      <c r="I266" s="233">
        <f>+H266*0.01</f>
        <v>3.7200000000000004E-2</v>
      </c>
      <c r="J266" s="233">
        <v>0</v>
      </c>
      <c r="K266" s="233">
        <v>0</v>
      </c>
      <c r="L266" s="233">
        <f>+H266*(10/100)</f>
        <v>0.37200000000000005</v>
      </c>
      <c r="M266" s="237">
        <v>0</v>
      </c>
      <c r="N266" s="233">
        <v>0</v>
      </c>
      <c r="O266" s="233">
        <f>+I266+L266</f>
        <v>0.40920000000000006</v>
      </c>
      <c r="P266" s="233">
        <f>+((J266+K266)+(M266+N266))</f>
        <v>0</v>
      </c>
      <c r="Q266" s="233">
        <f>+O266-P266</f>
        <v>0.40920000000000006</v>
      </c>
      <c r="R266" s="217" t="s">
        <v>284</v>
      </c>
      <c r="S266" s="216" t="s">
        <v>480</v>
      </c>
      <c r="T266" s="222" t="s">
        <v>282</v>
      </c>
      <c r="U266" s="222" t="s">
        <v>283</v>
      </c>
      <c r="V266" s="222"/>
    </row>
    <row r="267" spans="1:30" ht="86.45" customHeight="1" x14ac:dyDescent="0.75">
      <c r="A267" s="333">
        <v>99</v>
      </c>
      <c r="B267" s="353" t="s">
        <v>609</v>
      </c>
      <c r="C267" s="333" t="s">
        <v>511</v>
      </c>
      <c r="D267" s="354">
        <v>900039009850</v>
      </c>
      <c r="E267" s="221"/>
      <c r="F267" s="216" t="s">
        <v>18</v>
      </c>
      <c r="G267" s="216">
        <v>1.5</v>
      </c>
      <c r="H267" s="233">
        <v>1.237968</v>
      </c>
      <c r="I267" s="233">
        <f t="shared" ref="I267:I272" si="60">+H267*0.005</f>
        <v>6.1898400000000003E-3</v>
      </c>
      <c r="J267" s="233">
        <v>0</v>
      </c>
      <c r="K267" s="233">
        <v>5.0000000000000001E-3</v>
      </c>
      <c r="L267" s="233">
        <f t="shared" ref="L267:L272" si="61">+H267*(8.5/100)</f>
        <v>0.10522728000000001</v>
      </c>
      <c r="M267" s="237">
        <v>0</v>
      </c>
      <c r="N267" s="233">
        <v>9.1999999999999998E-2</v>
      </c>
      <c r="O267" s="233">
        <f t="shared" si="47"/>
        <v>0.11141712000000001</v>
      </c>
      <c r="P267" s="233">
        <f t="shared" si="52"/>
        <v>9.7000000000000003E-2</v>
      </c>
      <c r="Q267" s="233">
        <f t="shared" si="53"/>
        <v>1.4417120000000005E-2</v>
      </c>
      <c r="R267" s="217" t="s">
        <v>284</v>
      </c>
      <c r="S267" s="216" t="s">
        <v>1012</v>
      </c>
      <c r="T267" s="222" t="s">
        <v>282</v>
      </c>
      <c r="U267" s="222" t="s">
        <v>283</v>
      </c>
      <c r="V267" s="222"/>
    </row>
    <row r="268" spans="1:30" ht="86.45" customHeight="1" x14ac:dyDescent="0.75">
      <c r="A268" s="333"/>
      <c r="B268" s="353"/>
      <c r="C268" s="333"/>
      <c r="D268" s="354"/>
      <c r="E268" s="221"/>
      <c r="F268" s="216" t="s">
        <v>20</v>
      </c>
      <c r="G268" s="216">
        <v>1.5</v>
      </c>
      <c r="H268" s="233">
        <v>14.297027999999999</v>
      </c>
      <c r="I268" s="233">
        <f t="shared" si="60"/>
        <v>7.1485140000000003E-2</v>
      </c>
      <c r="J268" s="233">
        <v>0</v>
      </c>
      <c r="K268" s="233">
        <f>(63)*1000/1000000</f>
        <v>6.3E-2</v>
      </c>
      <c r="L268" s="233">
        <f t="shared" si="61"/>
        <v>1.2152473800000001</v>
      </c>
      <c r="M268" s="237">
        <v>0</v>
      </c>
      <c r="N268" s="233">
        <f>(1063)*1000/1000000</f>
        <v>1.0629999999999999</v>
      </c>
      <c r="O268" s="233">
        <f>+I268+L268</f>
        <v>1.2867325200000002</v>
      </c>
      <c r="P268" s="233">
        <f>+((J268+K268)+(M268+N268))</f>
        <v>1.1259999999999999</v>
      </c>
      <c r="Q268" s="233">
        <f>+O268-P268</f>
        <v>0.16073252000000027</v>
      </c>
      <c r="R268" s="217" t="s">
        <v>284</v>
      </c>
      <c r="S268" s="216" t="s">
        <v>1013</v>
      </c>
      <c r="T268" s="222" t="s">
        <v>282</v>
      </c>
      <c r="U268" s="222" t="s">
        <v>283</v>
      </c>
      <c r="V268" s="222"/>
    </row>
    <row r="269" spans="1:30" ht="86.45" customHeight="1" x14ac:dyDescent="0.75">
      <c r="A269" s="216">
        <v>100</v>
      </c>
      <c r="B269" s="220" t="s">
        <v>790</v>
      </c>
      <c r="C269" s="216" t="s">
        <v>511</v>
      </c>
      <c r="D269" s="221">
        <v>91599000246</v>
      </c>
      <c r="E269" s="221"/>
      <c r="F269" s="216" t="s">
        <v>20</v>
      </c>
      <c r="G269" s="216">
        <v>2.8</v>
      </c>
      <c r="H269" s="233">
        <v>15.434627000000001</v>
      </c>
      <c r="I269" s="233">
        <f t="shared" si="60"/>
        <v>7.7173135000000004E-2</v>
      </c>
      <c r="J269" s="233">
        <v>0</v>
      </c>
      <c r="K269" s="233">
        <f>(67)*1000/1000000</f>
        <v>6.7000000000000004E-2</v>
      </c>
      <c r="L269" s="233">
        <f t="shared" si="61"/>
        <v>1.3119432950000001</v>
      </c>
      <c r="M269" s="237">
        <v>0</v>
      </c>
      <c r="N269" s="233">
        <f>(1138)*1000/1000000</f>
        <v>1.1379999999999999</v>
      </c>
      <c r="O269" s="233">
        <f t="shared" ref="O269:O361" si="62">+I269+L269</f>
        <v>1.3891164300000001</v>
      </c>
      <c r="P269" s="233">
        <f t="shared" si="52"/>
        <v>1.2049999999999998</v>
      </c>
      <c r="Q269" s="233">
        <f t="shared" si="53"/>
        <v>0.18411643000000022</v>
      </c>
      <c r="R269" s="217" t="s">
        <v>284</v>
      </c>
      <c r="S269" s="216" t="s">
        <v>1014</v>
      </c>
      <c r="T269" s="222" t="s">
        <v>282</v>
      </c>
      <c r="U269" s="222" t="s">
        <v>283</v>
      </c>
      <c r="V269" s="222"/>
    </row>
    <row r="270" spans="1:30" ht="86.45" customHeight="1" x14ac:dyDescent="0.75">
      <c r="A270" s="330">
        <v>101</v>
      </c>
      <c r="B270" s="355" t="s">
        <v>791</v>
      </c>
      <c r="C270" s="330" t="s">
        <v>511</v>
      </c>
      <c r="D270" s="347">
        <v>181029035950</v>
      </c>
      <c r="E270" s="221" t="s">
        <v>1298</v>
      </c>
      <c r="F270" s="216" t="s">
        <v>20</v>
      </c>
      <c r="G270" s="216">
        <v>1</v>
      </c>
      <c r="H270" s="233">
        <v>7.1752820000000002</v>
      </c>
      <c r="I270" s="233">
        <f t="shared" si="60"/>
        <v>3.5876410000000004E-2</v>
      </c>
      <c r="J270" s="233">
        <v>0</v>
      </c>
      <c r="K270" s="233">
        <f>(12+14+6+5)*1000/1000000</f>
        <v>3.6999999999999998E-2</v>
      </c>
      <c r="L270" s="233">
        <f t="shared" si="61"/>
        <v>0.60989897000000004</v>
      </c>
      <c r="M270" s="237">
        <v>0</v>
      </c>
      <c r="N270" s="233">
        <f>(200+251+77+83)*1000/1000000</f>
        <v>0.61099999999999999</v>
      </c>
      <c r="O270" s="233">
        <f t="shared" si="62"/>
        <v>0.64577538000000001</v>
      </c>
      <c r="P270" s="233">
        <f t="shared" si="52"/>
        <v>0.64800000000000002</v>
      </c>
      <c r="Q270" s="233">
        <f t="shared" si="53"/>
        <v>-2.2246200000000105E-3</v>
      </c>
      <c r="R270" s="217" t="s">
        <v>284</v>
      </c>
      <c r="S270" s="216" t="s">
        <v>953</v>
      </c>
      <c r="T270" s="222" t="s">
        <v>282</v>
      </c>
      <c r="U270" s="222" t="s">
        <v>310</v>
      </c>
      <c r="V270" s="222"/>
    </row>
    <row r="271" spans="1:30" ht="86.45" customHeight="1" x14ac:dyDescent="0.75">
      <c r="A271" s="332"/>
      <c r="B271" s="356"/>
      <c r="C271" s="332"/>
      <c r="D271" s="348"/>
      <c r="E271" s="257" t="s">
        <v>1363</v>
      </c>
      <c r="F271" s="254" t="s">
        <v>20</v>
      </c>
      <c r="G271" s="254">
        <v>1</v>
      </c>
      <c r="H271" s="255">
        <v>7.1752789999999997</v>
      </c>
      <c r="I271" s="255">
        <f t="shared" si="60"/>
        <v>3.5876394999999998E-2</v>
      </c>
      <c r="J271" s="255">
        <v>0</v>
      </c>
      <c r="K271" s="255">
        <v>3.6999999999999998E-2</v>
      </c>
      <c r="L271" s="255">
        <f t="shared" si="61"/>
        <v>0.60989871500000004</v>
      </c>
      <c r="M271" s="256">
        <v>0</v>
      </c>
      <c r="N271" s="255">
        <v>0.61099999999999999</v>
      </c>
      <c r="O271" s="255">
        <f t="shared" si="62"/>
        <v>0.64577510999999999</v>
      </c>
      <c r="P271" s="255">
        <v>0.64800000000000002</v>
      </c>
      <c r="Q271" s="255">
        <v>0</v>
      </c>
      <c r="R271" s="258"/>
      <c r="S271" s="254"/>
      <c r="T271" s="222"/>
      <c r="U271" s="222"/>
      <c r="V271" s="222"/>
    </row>
    <row r="272" spans="1:30" s="244" customFormat="1" ht="86.45" customHeight="1" x14ac:dyDescent="0.75">
      <c r="A272" s="330">
        <v>102</v>
      </c>
      <c r="B272" s="324" t="s">
        <v>774</v>
      </c>
      <c r="C272" s="330" t="s">
        <v>511</v>
      </c>
      <c r="D272" s="347">
        <v>52789010129</v>
      </c>
      <c r="E272" s="347" t="s">
        <v>1324</v>
      </c>
      <c r="F272" s="216" t="s">
        <v>20</v>
      </c>
      <c r="G272" s="216">
        <v>24</v>
      </c>
      <c r="H272" s="233">
        <v>138.57684</v>
      </c>
      <c r="I272" s="233">
        <f t="shared" si="60"/>
        <v>0.69288420000000006</v>
      </c>
      <c r="J272" s="233">
        <v>0</v>
      </c>
      <c r="K272" s="233">
        <f>(((162+167+85+82+80+85)*1000)/1000000)</f>
        <v>0.66100000000000003</v>
      </c>
      <c r="L272" s="233">
        <f t="shared" si="61"/>
        <v>11.779031400000001</v>
      </c>
      <c r="M272" s="237">
        <v>0</v>
      </c>
      <c r="N272" s="233">
        <f>(((1438+1362+1391+1448+2828+2767)*1000)/1000000)</f>
        <v>11.234</v>
      </c>
      <c r="O272" s="233">
        <f t="shared" si="62"/>
        <v>12.471915600000001</v>
      </c>
      <c r="P272" s="233">
        <f t="shared" si="52"/>
        <v>11.895</v>
      </c>
      <c r="Q272" s="233">
        <f t="shared" si="53"/>
        <v>0.57691560000000131</v>
      </c>
      <c r="R272" s="217" t="s">
        <v>284</v>
      </c>
      <c r="S272" s="216" t="s">
        <v>965</v>
      </c>
      <c r="T272" s="243" t="s">
        <v>282</v>
      </c>
      <c r="U272" s="243" t="s">
        <v>283</v>
      </c>
      <c r="V272" s="243"/>
    </row>
    <row r="273" spans="1:30" s="244" customFormat="1" ht="86.45" customHeight="1" x14ac:dyDescent="0.75">
      <c r="A273" s="331"/>
      <c r="B273" s="325"/>
      <c r="C273" s="331"/>
      <c r="D273" s="349"/>
      <c r="E273" s="348"/>
      <c r="F273" s="216" t="s">
        <v>21</v>
      </c>
      <c r="G273" s="216">
        <v>32.5</v>
      </c>
      <c r="H273" s="233">
        <v>186.56439599999999</v>
      </c>
      <c r="I273" s="233">
        <f>+H273*0.01</f>
        <v>1.8656439599999999</v>
      </c>
      <c r="J273" s="233">
        <v>0</v>
      </c>
      <c r="K273" s="233">
        <f>((3+956+219+219+346)*1000)/1000000</f>
        <v>1.7430000000000001</v>
      </c>
      <c r="L273" s="233">
        <f>+H273*(10/100)</f>
        <v>18.656439599999999</v>
      </c>
      <c r="M273" s="237">
        <v>0</v>
      </c>
      <c r="N273" s="233">
        <f>((3374+120+6119+2193+2193+1433+198+1800+26)*1000)/1000000</f>
        <v>17.456</v>
      </c>
      <c r="O273" s="233">
        <f t="shared" si="62"/>
        <v>20.522083559999999</v>
      </c>
      <c r="P273" s="233">
        <f t="shared" si="52"/>
        <v>19.198999999999998</v>
      </c>
      <c r="Q273" s="233">
        <f t="shared" si="53"/>
        <v>1.3230835600000006</v>
      </c>
      <c r="R273" s="217" t="s">
        <v>284</v>
      </c>
      <c r="S273" s="216" t="s">
        <v>1015</v>
      </c>
      <c r="T273" s="243" t="s">
        <v>282</v>
      </c>
      <c r="U273" s="243" t="s">
        <v>283</v>
      </c>
      <c r="V273" s="243"/>
    </row>
    <row r="274" spans="1:30" s="244" customFormat="1" ht="86.45" customHeight="1" x14ac:dyDescent="0.75">
      <c r="A274" s="331"/>
      <c r="B274" s="325"/>
      <c r="C274" s="331"/>
      <c r="D274" s="349"/>
      <c r="E274" s="350" t="s">
        <v>1325</v>
      </c>
      <c r="F274" s="254" t="s">
        <v>20</v>
      </c>
      <c r="G274" s="254">
        <v>24</v>
      </c>
      <c r="H274" s="255">
        <v>132.834</v>
      </c>
      <c r="I274" s="255">
        <v>0.66400000000000003</v>
      </c>
      <c r="J274" s="255">
        <v>0</v>
      </c>
      <c r="K274" s="255">
        <v>0.66100000000000003</v>
      </c>
      <c r="L274" s="255">
        <v>11.29</v>
      </c>
      <c r="M274" s="256">
        <v>0</v>
      </c>
      <c r="N274" s="255">
        <v>11.234</v>
      </c>
      <c r="O274" s="255">
        <f t="shared" si="62"/>
        <v>11.953999999999999</v>
      </c>
      <c r="P274" s="255">
        <v>11.895</v>
      </c>
      <c r="Q274" s="255">
        <f t="shared" si="53"/>
        <v>5.8999999999999275E-2</v>
      </c>
      <c r="R274" s="258"/>
      <c r="S274" s="254"/>
      <c r="T274" s="243"/>
      <c r="U274" s="243"/>
      <c r="V274" s="243"/>
    </row>
    <row r="275" spans="1:30" s="244" customFormat="1" ht="86.45" customHeight="1" x14ac:dyDescent="0.75">
      <c r="A275" s="332"/>
      <c r="B275" s="326"/>
      <c r="C275" s="332"/>
      <c r="D275" s="348"/>
      <c r="E275" s="352"/>
      <c r="F275" s="254" t="s">
        <v>21</v>
      </c>
      <c r="G275" s="254">
        <v>32.5</v>
      </c>
      <c r="H275" s="255">
        <v>173.98699999999999</v>
      </c>
      <c r="I275" s="255">
        <v>1.739873</v>
      </c>
      <c r="J275" s="255">
        <v>0</v>
      </c>
      <c r="K275" s="255">
        <v>1.7430000000000001</v>
      </c>
      <c r="L275" s="255">
        <v>17.398700000000002</v>
      </c>
      <c r="M275" s="256">
        <v>0</v>
      </c>
      <c r="N275" s="255">
        <v>17.456</v>
      </c>
      <c r="O275" s="255">
        <v>19.138604999999998</v>
      </c>
      <c r="P275" s="255">
        <v>19.199000000000002</v>
      </c>
      <c r="Q275" s="255">
        <f t="shared" si="53"/>
        <v>-6.0395000000003307E-2</v>
      </c>
      <c r="R275" s="258"/>
      <c r="S275" s="254"/>
      <c r="T275" s="243"/>
      <c r="U275" s="243"/>
      <c r="V275" s="243"/>
    </row>
    <row r="276" spans="1:30" ht="86.45" customHeight="1" x14ac:dyDescent="0.75">
      <c r="A276" s="216">
        <v>103</v>
      </c>
      <c r="B276" s="220" t="s">
        <v>792</v>
      </c>
      <c r="C276" s="216" t="s">
        <v>511</v>
      </c>
      <c r="D276" s="221">
        <v>75949022590</v>
      </c>
      <c r="E276" s="221"/>
      <c r="F276" s="216" t="s">
        <v>20</v>
      </c>
      <c r="G276" s="216">
        <v>5</v>
      </c>
      <c r="H276" s="233">
        <v>5.3005079999999998</v>
      </c>
      <c r="I276" s="233">
        <f>+H276*0.005</f>
        <v>2.6502539999999998E-2</v>
      </c>
      <c r="J276" s="233">
        <v>0</v>
      </c>
      <c r="K276" s="233">
        <f>(((6+7+8)*1000)/1000000)</f>
        <v>2.1000000000000001E-2</v>
      </c>
      <c r="L276" s="233">
        <f>+H276*(8.5/100)</f>
        <v>0.45054317999999999</v>
      </c>
      <c r="M276" s="237">
        <v>0</v>
      </c>
      <c r="N276" s="233">
        <f>(((104+119+135)*1000)/1000000)</f>
        <v>0.35799999999999998</v>
      </c>
      <c r="O276" s="233">
        <f t="shared" si="62"/>
        <v>0.47704572000000001</v>
      </c>
      <c r="P276" s="233">
        <f t="shared" si="52"/>
        <v>0.379</v>
      </c>
      <c r="Q276" s="233">
        <f t="shared" si="53"/>
        <v>9.8045720000000003E-2</v>
      </c>
      <c r="R276" s="217" t="s">
        <v>284</v>
      </c>
      <c r="S276" s="216" t="s">
        <v>1016</v>
      </c>
      <c r="T276" s="222" t="s">
        <v>282</v>
      </c>
      <c r="U276" s="222" t="s">
        <v>283</v>
      </c>
      <c r="V276" s="222"/>
    </row>
    <row r="277" spans="1:30" ht="86.45" customHeight="1" x14ac:dyDescent="0.75">
      <c r="A277" s="333">
        <v>104</v>
      </c>
      <c r="B277" s="353" t="s">
        <v>793</v>
      </c>
      <c r="C277" s="333" t="s">
        <v>511</v>
      </c>
      <c r="D277" s="354">
        <v>75949006646</v>
      </c>
      <c r="E277" s="221"/>
      <c r="F277" s="216" t="s">
        <v>18</v>
      </c>
      <c r="G277" s="216">
        <v>4.3</v>
      </c>
      <c r="H277" s="233">
        <v>2.9691999999999998</v>
      </c>
      <c r="I277" s="233">
        <f>+H277*0.005</f>
        <v>1.4846E-2</v>
      </c>
      <c r="J277" s="233">
        <v>0</v>
      </c>
      <c r="K277" s="233">
        <v>0</v>
      </c>
      <c r="L277" s="233">
        <f>+H277*(8.5/100)</f>
        <v>0.252382</v>
      </c>
      <c r="M277" s="237">
        <v>0</v>
      </c>
      <c r="N277" s="233">
        <v>0</v>
      </c>
      <c r="O277" s="233">
        <f t="shared" si="62"/>
        <v>0.26722800000000002</v>
      </c>
      <c r="P277" s="233">
        <f t="shared" si="52"/>
        <v>0</v>
      </c>
      <c r="Q277" s="233">
        <f t="shared" si="53"/>
        <v>0.26722800000000002</v>
      </c>
      <c r="R277" s="217" t="s">
        <v>19</v>
      </c>
      <c r="S277" s="216" t="s">
        <v>346</v>
      </c>
      <c r="T277" s="222" t="s">
        <v>344</v>
      </c>
      <c r="U277" s="222"/>
      <c r="V277" s="222"/>
    </row>
    <row r="278" spans="1:30" ht="86.45" customHeight="1" x14ac:dyDescent="0.75">
      <c r="A278" s="333"/>
      <c r="B278" s="353"/>
      <c r="C278" s="333"/>
      <c r="D278" s="354"/>
      <c r="E278" s="221"/>
      <c r="F278" s="216" t="s">
        <v>20</v>
      </c>
      <c r="G278" s="216">
        <v>15</v>
      </c>
      <c r="H278" s="233">
        <v>35.613675999999998</v>
      </c>
      <c r="I278" s="233">
        <f>+H278*0.005</f>
        <v>0.17806838</v>
      </c>
      <c r="J278" s="233">
        <v>0</v>
      </c>
      <c r="K278" s="233">
        <f>(((30+35+45+51)*1000)/1000000)</f>
        <v>0.161</v>
      </c>
      <c r="L278" s="233">
        <f>+H278*(8.5/100)</f>
        <v>3.02716246</v>
      </c>
      <c r="M278" s="237">
        <v>0</v>
      </c>
      <c r="N278" s="233">
        <f>(((507+600+770+861)*1000)/1000000)</f>
        <v>2.738</v>
      </c>
      <c r="O278" s="233">
        <f>+I278+L278</f>
        <v>3.20523084</v>
      </c>
      <c r="P278" s="233">
        <f>+((J278+K278)+(M278+N278))</f>
        <v>2.899</v>
      </c>
      <c r="Q278" s="233">
        <f>+O278-P278</f>
        <v>0.30623084</v>
      </c>
      <c r="R278" s="217" t="s">
        <v>19</v>
      </c>
      <c r="S278" s="216" t="s">
        <v>1017</v>
      </c>
      <c r="T278" s="222" t="s">
        <v>282</v>
      </c>
      <c r="U278" s="222" t="s">
        <v>283</v>
      </c>
      <c r="V278" s="222"/>
    </row>
    <row r="279" spans="1:30" ht="86.45" customHeight="1" x14ac:dyDescent="0.75">
      <c r="A279" s="333"/>
      <c r="B279" s="353"/>
      <c r="C279" s="333"/>
      <c r="D279" s="354"/>
      <c r="E279" s="221"/>
      <c r="F279" s="216" t="s">
        <v>21</v>
      </c>
      <c r="G279" s="216">
        <v>7.2</v>
      </c>
      <c r="H279" s="233">
        <v>32.943542000000001</v>
      </c>
      <c r="I279" s="233">
        <f>+H279*0.01</f>
        <v>0.32943542000000003</v>
      </c>
      <c r="J279" s="233">
        <v>0</v>
      </c>
      <c r="K279" s="233">
        <f>((73+21+6+98+104)*1000)/1000000</f>
        <v>0.30199999999999999</v>
      </c>
      <c r="L279" s="233">
        <f>+H279*(10/100)</f>
        <v>3.2943542000000003</v>
      </c>
      <c r="M279" s="237">
        <v>0</v>
      </c>
      <c r="N279" s="233">
        <f>((570+331+94+971+1038)*1000)/1000000</f>
        <v>3.004</v>
      </c>
      <c r="O279" s="233">
        <f t="shared" si="62"/>
        <v>3.6237896200000002</v>
      </c>
      <c r="P279" s="233">
        <f t="shared" si="52"/>
        <v>3.306</v>
      </c>
      <c r="Q279" s="233">
        <f t="shared" si="53"/>
        <v>0.31778962000000011</v>
      </c>
      <c r="R279" s="217" t="s">
        <v>284</v>
      </c>
      <c r="S279" s="216" t="s">
        <v>1018</v>
      </c>
      <c r="T279" s="222" t="s">
        <v>282</v>
      </c>
      <c r="U279" s="222" t="s">
        <v>283</v>
      </c>
      <c r="V279" s="222"/>
    </row>
    <row r="280" spans="1:30" ht="86.45" customHeight="1" x14ac:dyDescent="0.75">
      <c r="A280" s="333">
        <v>105</v>
      </c>
      <c r="B280" s="353" t="s">
        <v>794</v>
      </c>
      <c r="C280" s="333" t="s">
        <v>511</v>
      </c>
      <c r="D280" s="354">
        <v>32909026270</v>
      </c>
      <c r="E280" s="221"/>
      <c r="F280" s="216" t="s">
        <v>20</v>
      </c>
      <c r="G280" s="216">
        <v>3</v>
      </c>
      <c r="H280" s="233">
        <v>22.035527999999999</v>
      </c>
      <c r="I280" s="233">
        <f>+H280*0.005</f>
        <v>0.11017763999999999</v>
      </c>
      <c r="J280" s="233">
        <v>0</v>
      </c>
      <c r="K280" s="233">
        <f>(92)*1000/1000000</f>
        <v>9.1999999999999998E-2</v>
      </c>
      <c r="L280" s="233">
        <f>+H280*(8.5/100)</f>
        <v>1.87301988</v>
      </c>
      <c r="M280" s="237">
        <v>0</v>
      </c>
      <c r="N280" s="233">
        <f>(1638)*1000/1000000</f>
        <v>1.6379999999999999</v>
      </c>
      <c r="O280" s="233">
        <f t="shared" si="62"/>
        <v>1.98319752</v>
      </c>
      <c r="P280" s="233">
        <f t="shared" si="52"/>
        <v>1.73</v>
      </c>
      <c r="Q280" s="233">
        <f t="shared" si="53"/>
        <v>0.25319752000000006</v>
      </c>
      <c r="R280" s="217" t="s">
        <v>284</v>
      </c>
      <c r="S280" s="216" t="s">
        <v>946</v>
      </c>
      <c r="T280" s="222" t="s">
        <v>282</v>
      </c>
      <c r="U280" s="222" t="s">
        <v>283</v>
      </c>
      <c r="V280" s="222"/>
    </row>
    <row r="281" spans="1:30" ht="86.45" customHeight="1" x14ac:dyDescent="0.75">
      <c r="A281" s="333"/>
      <c r="B281" s="353"/>
      <c r="C281" s="333"/>
      <c r="D281" s="354"/>
      <c r="E281" s="221"/>
      <c r="F281" s="216" t="s">
        <v>21</v>
      </c>
      <c r="G281" s="216">
        <v>7</v>
      </c>
      <c r="H281" s="233">
        <v>21.026513000000001</v>
      </c>
      <c r="I281" s="233">
        <f>+H281*0.01</f>
        <v>0.21026513000000002</v>
      </c>
      <c r="J281" s="233">
        <v>0</v>
      </c>
      <c r="K281" s="233">
        <f>((74+73+93+67)*1000)/1000000</f>
        <v>0.307</v>
      </c>
      <c r="L281" s="233">
        <f>+H281*(10/100)</f>
        <v>2.1026513000000002</v>
      </c>
      <c r="M281" s="237">
        <v>0</v>
      </c>
      <c r="N281" s="233">
        <f>((737+729+933+664)*1000)/1000000</f>
        <v>3.0630000000000002</v>
      </c>
      <c r="O281" s="233">
        <f>+I281+L281</f>
        <v>2.3129164300000005</v>
      </c>
      <c r="P281" s="233">
        <f>+((J281+K281)+(M281+N281))</f>
        <v>3.37</v>
      </c>
      <c r="Q281" s="233">
        <f>+O281-P281</f>
        <v>-1.0570835699999996</v>
      </c>
      <c r="R281" s="217" t="s">
        <v>284</v>
      </c>
      <c r="S281" s="216" t="s">
        <v>1019</v>
      </c>
      <c r="T281" s="222" t="s">
        <v>282</v>
      </c>
      <c r="U281" s="222" t="s">
        <v>310</v>
      </c>
      <c r="V281" s="222"/>
    </row>
    <row r="282" spans="1:30" ht="86.45" customHeight="1" x14ac:dyDescent="0.75">
      <c r="A282" s="333"/>
      <c r="B282" s="353"/>
      <c r="C282" s="333"/>
      <c r="D282" s="354"/>
      <c r="E282" s="221"/>
      <c r="F282" s="216" t="s">
        <v>22</v>
      </c>
      <c r="G282" s="216">
        <v>6</v>
      </c>
      <c r="H282" s="233">
        <f>46304498/1000000</f>
        <v>46.304498000000002</v>
      </c>
      <c r="I282" s="233">
        <f>+H282*0.02</f>
        <v>0.9260899600000001</v>
      </c>
      <c r="J282" s="233">
        <v>0</v>
      </c>
      <c r="K282" s="233">
        <f>(810*1000)/1000000</f>
        <v>0.81</v>
      </c>
      <c r="L282" s="233">
        <f>+H282*(10.5/100)</f>
        <v>4.8619722899999998</v>
      </c>
      <c r="M282" s="237">
        <v>0</v>
      </c>
      <c r="N282" s="233">
        <f>((3959+21+271)*1000)/1000000</f>
        <v>4.2510000000000003</v>
      </c>
      <c r="O282" s="233">
        <f>+I282+L282</f>
        <v>5.7880622499999994</v>
      </c>
      <c r="P282" s="233">
        <f>+((J282+K282)+(M282+N282))</f>
        <v>5.0609999999999999</v>
      </c>
      <c r="Q282" s="233">
        <f>+O282-P282</f>
        <v>0.72706224999999947</v>
      </c>
      <c r="R282" s="216" t="s">
        <v>19</v>
      </c>
      <c r="S282" s="216" t="s">
        <v>79</v>
      </c>
      <c r="T282" s="222" t="s">
        <v>282</v>
      </c>
      <c r="U282" s="222" t="s">
        <v>283</v>
      </c>
      <c r="V282" s="222"/>
      <c r="W282" s="14"/>
      <c r="X282" s="14"/>
      <c r="Y282" s="14"/>
      <c r="Z282" s="14"/>
      <c r="AA282" s="14"/>
      <c r="AB282" s="14"/>
      <c r="AC282" s="14"/>
      <c r="AD282" s="14"/>
    </row>
    <row r="283" spans="1:30" ht="86.45" customHeight="1" x14ac:dyDescent="0.75">
      <c r="A283" s="333"/>
      <c r="B283" s="353"/>
      <c r="C283" s="333"/>
      <c r="D283" s="354"/>
      <c r="E283" s="221"/>
      <c r="F283" s="216" t="s">
        <v>24</v>
      </c>
      <c r="G283" s="223">
        <v>12.24</v>
      </c>
      <c r="H283" s="234">
        <v>48.931050999999997</v>
      </c>
      <c r="I283" s="233">
        <f>+H283*(2.75/100)</f>
        <v>1.3456039024999999</v>
      </c>
      <c r="J283" s="233">
        <v>0</v>
      </c>
      <c r="K283" s="233">
        <f>((436+502+317)*1000)/1000000</f>
        <v>1.2549999999999999</v>
      </c>
      <c r="L283" s="233">
        <f>+H283*(11/100)</f>
        <v>5.3824156099999998</v>
      </c>
      <c r="M283" s="237">
        <v>0</v>
      </c>
      <c r="N283" s="233">
        <f>((2047+844+2130)*1000)/1000000</f>
        <v>5.0209999999999999</v>
      </c>
      <c r="O283" s="233">
        <f t="shared" si="62"/>
        <v>6.7280195124999995</v>
      </c>
      <c r="P283" s="233">
        <f t="shared" si="52"/>
        <v>6.2759999999999998</v>
      </c>
      <c r="Q283" s="233">
        <f t="shared" si="53"/>
        <v>0.45201951249999972</v>
      </c>
      <c r="R283" s="217" t="s">
        <v>25</v>
      </c>
      <c r="S283" s="216" t="s">
        <v>80</v>
      </c>
      <c r="T283" s="222" t="s">
        <v>282</v>
      </c>
      <c r="U283" s="222" t="s">
        <v>283</v>
      </c>
      <c r="V283" s="222"/>
      <c r="W283" s="14"/>
      <c r="X283" s="14"/>
      <c r="Y283" s="14"/>
      <c r="Z283" s="14"/>
      <c r="AA283" s="14"/>
      <c r="AB283" s="14"/>
      <c r="AC283" s="14"/>
      <c r="AD283" s="14"/>
    </row>
    <row r="284" spans="1:30" ht="86.45" customHeight="1" x14ac:dyDescent="0.75">
      <c r="A284" s="333"/>
      <c r="B284" s="353"/>
      <c r="C284" s="333"/>
      <c r="D284" s="354"/>
      <c r="E284" s="221"/>
      <c r="F284" s="223" t="s">
        <v>27</v>
      </c>
      <c r="G284" s="216">
        <v>8.5</v>
      </c>
      <c r="H284" s="233">
        <v>60.374958999999997</v>
      </c>
      <c r="I284" s="234">
        <f>+H284*(3.5/100)</f>
        <v>2.113123565</v>
      </c>
      <c r="J284" s="234">
        <v>0</v>
      </c>
      <c r="K284" s="234">
        <f>((689+611+226+517)*1000)/1000000</f>
        <v>2.0430000000000001</v>
      </c>
      <c r="L284" s="234">
        <f>+H284*(11.5/100)</f>
        <v>6.943120285</v>
      </c>
      <c r="M284" s="238">
        <v>0</v>
      </c>
      <c r="N284" s="234">
        <f>((1899+3116+1700)*1000)/1000000</f>
        <v>6.7149999999999999</v>
      </c>
      <c r="O284" s="234">
        <f>+I284+L284</f>
        <v>9.0562438499999995</v>
      </c>
      <c r="P284" s="234">
        <f>+((J284+K284)+(M284+N284))</f>
        <v>8.7579999999999991</v>
      </c>
      <c r="Q284" s="234">
        <f>+O284-P284</f>
        <v>0.29824385000000042</v>
      </c>
      <c r="R284" s="217" t="s">
        <v>497</v>
      </c>
      <c r="S284" s="223" t="s">
        <v>81</v>
      </c>
      <c r="T284" s="222" t="s">
        <v>282</v>
      </c>
      <c r="U284" s="222" t="s">
        <v>283</v>
      </c>
      <c r="V284" s="222"/>
      <c r="W284" s="14"/>
      <c r="X284" s="14"/>
      <c r="Y284" s="14"/>
      <c r="Z284" s="14"/>
      <c r="AA284" s="14"/>
      <c r="AB284" s="14"/>
      <c r="AC284" s="14"/>
      <c r="AD284" s="14"/>
    </row>
    <row r="285" spans="1:30" ht="86.45" customHeight="1" x14ac:dyDescent="0.75">
      <c r="A285" s="333">
        <v>106</v>
      </c>
      <c r="B285" s="353" t="s">
        <v>795</v>
      </c>
      <c r="C285" s="333" t="s">
        <v>511</v>
      </c>
      <c r="D285" s="354">
        <v>430019002670</v>
      </c>
      <c r="E285" s="221"/>
      <c r="F285" s="216" t="s">
        <v>18</v>
      </c>
      <c r="G285" s="216">
        <v>15</v>
      </c>
      <c r="H285" s="233">
        <v>100.72346</v>
      </c>
      <c r="I285" s="233">
        <f>+H285*0.005</f>
        <v>0.50361730000000005</v>
      </c>
      <c r="J285" s="233">
        <v>0</v>
      </c>
      <c r="K285" s="233">
        <f>(399)*1000/1000000</f>
        <v>0.39900000000000002</v>
      </c>
      <c r="L285" s="233">
        <f>+H285*(8.5/100)</f>
        <v>8.5614941000000009</v>
      </c>
      <c r="M285" s="237">
        <v>0</v>
      </c>
      <c r="N285" s="233">
        <f>(6784)*1000/1000000</f>
        <v>6.7839999999999998</v>
      </c>
      <c r="O285" s="233">
        <f>+I285+L285</f>
        <v>9.065111400000001</v>
      </c>
      <c r="P285" s="233">
        <f>+((J285+K285)+(M285+N285))</f>
        <v>7.1829999999999998</v>
      </c>
      <c r="Q285" s="233">
        <f>+O285-P285</f>
        <v>1.8821114000000012</v>
      </c>
      <c r="R285" s="217" t="s">
        <v>292</v>
      </c>
      <c r="S285" s="216" t="s">
        <v>1020</v>
      </c>
      <c r="T285" s="222" t="s">
        <v>282</v>
      </c>
      <c r="U285" s="222" t="s">
        <v>283</v>
      </c>
      <c r="V285" s="222"/>
    </row>
    <row r="286" spans="1:30" ht="86.45" customHeight="1" x14ac:dyDescent="0.75">
      <c r="A286" s="333"/>
      <c r="B286" s="353"/>
      <c r="C286" s="333"/>
      <c r="D286" s="354"/>
      <c r="E286" s="221"/>
      <c r="F286" s="216" t="s">
        <v>20</v>
      </c>
      <c r="G286" s="216">
        <v>15</v>
      </c>
      <c r="H286" s="233">
        <v>107.33881599999999</v>
      </c>
      <c r="I286" s="233">
        <f>+H286*0.005</f>
        <v>0.53669407999999996</v>
      </c>
      <c r="J286" s="233">
        <v>0</v>
      </c>
      <c r="K286" s="233">
        <f>((501)*1000/1000000)</f>
        <v>0.501</v>
      </c>
      <c r="L286" s="233">
        <f>+H286*(8.5/100)</f>
        <v>9.1237993599999996</v>
      </c>
      <c r="M286" s="237">
        <v>0</v>
      </c>
      <c r="N286" s="233">
        <f>((8522)*1000/1000000)</f>
        <v>8.5220000000000002</v>
      </c>
      <c r="O286" s="233">
        <f t="shared" si="62"/>
        <v>9.6604934399999998</v>
      </c>
      <c r="P286" s="233">
        <f t="shared" si="52"/>
        <v>9.0229999999999997</v>
      </c>
      <c r="Q286" s="233">
        <f t="shared" si="53"/>
        <v>0.63749344000000008</v>
      </c>
      <c r="R286" s="217" t="s">
        <v>284</v>
      </c>
      <c r="S286" s="216" t="s">
        <v>1021</v>
      </c>
      <c r="T286" s="222" t="s">
        <v>282</v>
      </c>
      <c r="U286" s="222" t="s">
        <v>283</v>
      </c>
      <c r="V286" s="222"/>
    </row>
    <row r="287" spans="1:30" ht="86.45" customHeight="1" x14ac:dyDescent="0.75">
      <c r="A287" s="333">
        <v>107</v>
      </c>
      <c r="B287" s="365" t="s">
        <v>895</v>
      </c>
      <c r="C287" s="333" t="s">
        <v>511</v>
      </c>
      <c r="D287" s="354">
        <v>3019004642</v>
      </c>
      <c r="E287" s="347" t="s">
        <v>1298</v>
      </c>
      <c r="F287" s="216" t="s">
        <v>22</v>
      </c>
      <c r="G287" s="216">
        <v>20</v>
      </c>
      <c r="H287" s="233">
        <f>53278833/1000000</f>
        <v>53.278832999999999</v>
      </c>
      <c r="I287" s="233">
        <f>+H287*0.02</f>
        <v>1.0655766600000001</v>
      </c>
      <c r="J287" s="233">
        <v>0</v>
      </c>
      <c r="K287" s="233">
        <f>((987)*1000)/1000000</f>
        <v>0.98699999999999999</v>
      </c>
      <c r="L287" s="233">
        <f>+H287*(10.5/100)</f>
        <v>5.5942774649999993</v>
      </c>
      <c r="M287" s="237">
        <v>0</v>
      </c>
      <c r="N287" s="233">
        <f>((6170)*1000)/1000000</f>
        <v>6.17</v>
      </c>
      <c r="O287" s="233">
        <f>+I287+L287</f>
        <v>6.659854124999999</v>
      </c>
      <c r="P287" s="233">
        <f>+((J287+K287)+(M287+N287))</f>
        <v>7.157</v>
      </c>
      <c r="Q287" s="233">
        <f>+O287-P287</f>
        <v>-0.49714587500000107</v>
      </c>
      <c r="R287" s="216" t="s">
        <v>19</v>
      </c>
      <c r="S287" s="217" t="s">
        <v>83</v>
      </c>
      <c r="T287" s="222" t="s">
        <v>282</v>
      </c>
      <c r="U287" s="222" t="s">
        <v>310</v>
      </c>
      <c r="V287" s="222"/>
      <c r="W287" s="14"/>
      <c r="X287" s="14"/>
      <c r="Y287" s="14"/>
      <c r="Z287" s="14"/>
      <c r="AA287" s="14"/>
      <c r="AB287" s="14"/>
      <c r="AC287" s="14"/>
      <c r="AD287" s="14"/>
    </row>
    <row r="288" spans="1:30" ht="86.45" customHeight="1" x14ac:dyDescent="0.75">
      <c r="A288" s="333"/>
      <c r="B288" s="365"/>
      <c r="C288" s="333"/>
      <c r="D288" s="354"/>
      <c r="E288" s="349"/>
      <c r="F288" s="216" t="s">
        <v>24</v>
      </c>
      <c r="G288" s="216">
        <v>20</v>
      </c>
      <c r="H288" s="233">
        <v>172.50329500000001</v>
      </c>
      <c r="I288" s="233">
        <f>+H288*(2.75/100)</f>
        <v>4.7438406125000006</v>
      </c>
      <c r="J288" s="233">
        <v>0</v>
      </c>
      <c r="K288" s="233">
        <v>0</v>
      </c>
      <c r="L288" s="233">
        <f>+H288*(11/100)</f>
        <v>18.975362450000002</v>
      </c>
      <c r="M288" s="237">
        <v>0</v>
      </c>
      <c r="N288" s="233">
        <v>0</v>
      </c>
      <c r="O288" s="233">
        <f t="shared" si="62"/>
        <v>23.719203062500004</v>
      </c>
      <c r="P288" s="233">
        <f t="shared" si="52"/>
        <v>0</v>
      </c>
      <c r="Q288" s="233">
        <f t="shared" si="53"/>
        <v>23.719203062500004</v>
      </c>
      <c r="R288" s="217" t="s">
        <v>497</v>
      </c>
      <c r="S288" s="216" t="s">
        <v>84</v>
      </c>
      <c r="T288" s="222" t="s">
        <v>344</v>
      </c>
      <c r="U288" s="222"/>
      <c r="V288" s="222"/>
      <c r="W288" s="14"/>
      <c r="X288" s="14"/>
      <c r="Y288" s="14"/>
      <c r="Z288" s="14"/>
      <c r="AA288" s="14"/>
      <c r="AB288" s="14"/>
      <c r="AC288" s="14"/>
      <c r="AD288" s="14"/>
    </row>
    <row r="289" spans="1:30" ht="86.45" customHeight="1" x14ac:dyDescent="0.75">
      <c r="A289" s="333"/>
      <c r="B289" s="365"/>
      <c r="C289" s="333"/>
      <c r="D289" s="354"/>
      <c r="E289" s="348"/>
      <c r="F289" s="216" t="s">
        <v>27</v>
      </c>
      <c r="G289" s="223">
        <v>27</v>
      </c>
      <c r="H289" s="234">
        <f>191516606/1000000</f>
        <v>191.516606</v>
      </c>
      <c r="I289" s="234">
        <f>+H289*(3.5/100)</f>
        <v>6.7030812100000006</v>
      </c>
      <c r="J289" s="234">
        <v>0</v>
      </c>
      <c r="K289" s="234">
        <v>0</v>
      </c>
      <c r="L289" s="234">
        <f>+H289*(11.5/100)</f>
        <v>22.024409689999999</v>
      </c>
      <c r="M289" s="238">
        <v>0</v>
      </c>
      <c r="N289" s="234">
        <v>0</v>
      </c>
      <c r="O289" s="234">
        <f>+I289+L289</f>
        <v>28.727490899999999</v>
      </c>
      <c r="P289" s="234">
        <f>+((J289+K289)+(M289+N289))</f>
        <v>0</v>
      </c>
      <c r="Q289" s="234">
        <f>+O289-P289</f>
        <v>28.727490899999999</v>
      </c>
      <c r="R289" s="217" t="s">
        <v>25</v>
      </c>
      <c r="S289" s="216" t="s">
        <v>85</v>
      </c>
      <c r="T289" s="222" t="s">
        <v>344</v>
      </c>
      <c r="U289" s="222"/>
      <c r="V289" s="222"/>
      <c r="W289" s="14"/>
      <c r="X289" s="14"/>
      <c r="Y289" s="14"/>
      <c r="Z289" s="14"/>
      <c r="AA289" s="14"/>
      <c r="AB289" s="14"/>
      <c r="AC289" s="14"/>
      <c r="AD289" s="14"/>
    </row>
    <row r="290" spans="1:30" ht="86.45" customHeight="1" x14ac:dyDescent="0.75">
      <c r="A290" s="333"/>
      <c r="B290" s="365"/>
      <c r="C290" s="333"/>
      <c r="D290" s="354"/>
      <c r="E290" s="350" t="s">
        <v>1312</v>
      </c>
      <c r="F290" s="254" t="s">
        <v>22</v>
      </c>
      <c r="G290" s="265">
        <v>20</v>
      </c>
      <c r="H290" s="266">
        <v>49.95</v>
      </c>
      <c r="I290" s="266">
        <v>0</v>
      </c>
      <c r="J290" s="266">
        <v>0</v>
      </c>
      <c r="K290" s="266">
        <v>0</v>
      </c>
      <c r="L290" s="266">
        <f>9%*H290</f>
        <v>4.4954999999999998</v>
      </c>
      <c r="M290" s="266">
        <v>0</v>
      </c>
      <c r="N290" s="266">
        <v>0</v>
      </c>
      <c r="O290" s="266">
        <f>9%*H290</f>
        <v>4.4954999999999998</v>
      </c>
      <c r="P290" s="266">
        <f>K290+N290</f>
        <v>0</v>
      </c>
      <c r="Q290" s="266">
        <f>+O290-P290</f>
        <v>4.4954999999999998</v>
      </c>
      <c r="R290" s="258"/>
      <c r="S290" s="254"/>
      <c r="T290" s="222"/>
      <c r="U290" s="222"/>
      <c r="V290" s="222"/>
      <c r="W290" s="14"/>
      <c r="X290" s="14"/>
      <c r="Y290" s="14"/>
      <c r="Z290" s="14"/>
      <c r="AA290" s="14"/>
      <c r="AB290" s="14"/>
      <c r="AC290" s="14"/>
      <c r="AD290" s="14"/>
    </row>
    <row r="291" spans="1:30" ht="86.45" customHeight="1" x14ac:dyDescent="0.75">
      <c r="A291" s="333"/>
      <c r="B291" s="365"/>
      <c r="C291" s="333"/>
      <c r="D291" s="354"/>
      <c r="E291" s="351"/>
      <c r="F291" s="254" t="s">
        <v>24</v>
      </c>
      <c r="G291" s="265">
        <v>20</v>
      </c>
      <c r="H291" s="266">
        <v>162.65</v>
      </c>
      <c r="I291" s="266">
        <v>0</v>
      </c>
      <c r="J291" s="266">
        <v>0</v>
      </c>
      <c r="K291" s="266">
        <v>4.1100000000000003</v>
      </c>
      <c r="L291" s="266">
        <f>16.35</f>
        <v>16.350000000000001</v>
      </c>
      <c r="M291" s="266">
        <v>0</v>
      </c>
      <c r="N291" s="266">
        <v>16.484999999999999</v>
      </c>
      <c r="O291" s="266">
        <f>16.35</f>
        <v>16.350000000000001</v>
      </c>
      <c r="P291" s="266">
        <f>K291+N291</f>
        <v>20.594999999999999</v>
      </c>
      <c r="Q291" s="266">
        <f t="shared" ref="Q291:Q292" si="63">+O291-P291</f>
        <v>-4.2449999999999974</v>
      </c>
      <c r="R291" s="258"/>
      <c r="S291" s="254"/>
      <c r="T291" s="222"/>
      <c r="U291" s="222"/>
      <c r="V291" s="222"/>
      <c r="W291" s="14"/>
      <c r="X291" s="14"/>
      <c r="Y291" s="14"/>
      <c r="Z291" s="14"/>
      <c r="AA291" s="14"/>
      <c r="AB291" s="14"/>
      <c r="AC291" s="14"/>
      <c r="AD291" s="14"/>
    </row>
    <row r="292" spans="1:30" ht="86.45" customHeight="1" x14ac:dyDescent="0.75">
      <c r="A292" s="333"/>
      <c r="B292" s="365"/>
      <c r="C292" s="333"/>
      <c r="D292" s="354"/>
      <c r="E292" s="352"/>
      <c r="F292" s="254" t="s">
        <v>27</v>
      </c>
      <c r="G292" s="265">
        <v>27</v>
      </c>
      <c r="H292" s="266">
        <v>181.37</v>
      </c>
      <c r="I292" s="266">
        <v>0</v>
      </c>
      <c r="J292" s="266">
        <v>0</v>
      </c>
      <c r="K292" s="266">
        <v>0</v>
      </c>
      <c r="L292" s="266">
        <v>18.456</v>
      </c>
      <c r="M292" s="266">
        <v>0</v>
      </c>
      <c r="N292" s="266">
        <v>18.456</v>
      </c>
      <c r="O292" s="266">
        <v>18.456</v>
      </c>
      <c r="P292" s="266">
        <f>K292+N292</f>
        <v>18.456</v>
      </c>
      <c r="Q292" s="266">
        <f t="shared" si="63"/>
        <v>0</v>
      </c>
      <c r="R292" s="273"/>
      <c r="S292" s="273"/>
      <c r="U292" s="222"/>
      <c r="V292" s="222"/>
      <c r="W292" s="14"/>
      <c r="X292" s="14"/>
      <c r="Y292" s="14"/>
      <c r="Z292" s="14"/>
      <c r="AA292" s="14"/>
      <c r="AB292" s="14"/>
      <c r="AC292" s="14"/>
      <c r="AD292" s="14"/>
    </row>
    <row r="293" spans="1:30" ht="86.45" customHeight="1" x14ac:dyDescent="0.75">
      <c r="A293" s="333">
        <v>108</v>
      </c>
      <c r="B293" s="353" t="s">
        <v>796</v>
      </c>
      <c r="C293" s="333" t="s">
        <v>511</v>
      </c>
      <c r="D293" s="354" t="s">
        <v>618</v>
      </c>
      <c r="E293" s="221"/>
      <c r="F293" s="216" t="s">
        <v>18</v>
      </c>
      <c r="G293" s="216">
        <v>15.1</v>
      </c>
      <c r="H293" s="233">
        <v>73.440875000000005</v>
      </c>
      <c r="I293" s="233">
        <f>+H293*0.005</f>
        <v>0.36720437500000003</v>
      </c>
      <c r="J293" s="233">
        <v>0</v>
      </c>
      <c r="K293" s="233">
        <f>360/1000</f>
        <v>0.36</v>
      </c>
      <c r="L293" s="233">
        <f>+H293*(8.5/100)</f>
        <v>6.2424743750000014</v>
      </c>
      <c r="M293" s="237">
        <v>0</v>
      </c>
      <c r="N293" s="233">
        <f>6110/1000</f>
        <v>6.11</v>
      </c>
      <c r="O293" s="233">
        <f>+I293+L293</f>
        <v>6.6096787500000014</v>
      </c>
      <c r="P293" s="233">
        <f>+((J293+K293)+(M293+N293))</f>
        <v>6.4700000000000006</v>
      </c>
      <c r="Q293" s="233">
        <f>+O293-P293</f>
        <v>0.13967875000000074</v>
      </c>
      <c r="R293" s="217" t="s">
        <v>284</v>
      </c>
      <c r="S293" s="216" t="s">
        <v>1022</v>
      </c>
      <c r="T293" s="222" t="s">
        <v>282</v>
      </c>
      <c r="U293" s="222" t="s">
        <v>283</v>
      </c>
      <c r="V293" s="222"/>
    </row>
    <row r="294" spans="1:30" ht="86.45" customHeight="1" x14ac:dyDescent="0.75">
      <c r="A294" s="333"/>
      <c r="B294" s="353"/>
      <c r="C294" s="333"/>
      <c r="D294" s="354"/>
      <c r="E294" s="221"/>
      <c r="F294" s="216" t="s">
        <v>20</v>
      </c>
      <c r="G294" s="216">
        <v>10</v>
      </c>
      <c r="H294" s="233">
        <v>80.066125</v>
      </c>
      <c r="I294" s="233">
        <f>+H294*0.005</f>
        <v>0.400330625</v>
      </c>
      <c r="J294" s="233">
        <v>0</v>
      </c>
      <c r="K294" s="233">
        <f>(379*1000/1000000)</f>
        <v>0.379</v>
      </c>
      <c r="L294" s="233">
        <f>+H294*(8.5/100)</f>
        <v>6.8056206250000004</v>
      </c>
      <c r="M294" s="237">
        <v>0</v>
      </c>
      <c r="N294" s="233">
        <f>(6442*1000/1000000)</f>
        <v>6.4420000000000002</v>
      </c>
      <c r="O294" s="233">
        <f>+I294+L294</f>
        <v>7.20595125</v>
      </c>
      <c r="P294" s="233">
        <f>+((J294+K294)+(M294+N294))</f>
        <v>6.8209999999999997</v>
      </c>
      <c r="Q294" s="233">
        <f>+O294-P294</f>
        <v>0.3849512500000003</v>
      </c>
      <c r="R294" s="217" t="s">
        <v>284</v>
      </c>
      <c r="S294" s="216" t="s">
        <v>1023</v>
      </c>
      <c r="T294" s="222" t="s">
        <v>282</v>
      </c>
      <c r="U294" s="222" t="s">
        <v>283</v>
      </c>
      <c r="V294" s="222"/>
    </row>
    <row r="295" spans="1:30" ht="86.45" customHeight="1" x14ac:dyDescent="0.75">
      <c r="A295" s="333"/>
      <c r="B295" s="353"/>
      <c r="C295" s="333"/>
      <c r="D295" s="354"/>
      <c r="E295" s="221"/>
      <c r="F295" s="216" t="s">
        <v>21</v>
      </c>
      <c r="G295" s="216">
        <v>11.5</v>
      </c>
      <c r="H295" s="233">
        <v>90.908749999999998</v>
      </c>
      <c r="I295" s="233">
        <f>+H295*0.01</f>
        <v>0.90908750000000005</v>
      </c>
      <c r="J295" s="233">
        <f>(0.186+0.221)</f>
        <v>0.40700000000000003</v>
      </c>
      <c r="K295" s="233">
        <f>((375+50)*1000)/1000000</f>
        <v>0.42499999999999999</v>
      </c>
      <c r="L295" s="233">
        <f>+H295*(10/100)</f>
        <v>9.0908750000000005</v>
      </c>
      <c r="M295" s="237">
        <v>0</v>
      </c>
      <c r="N295" s="233">
        <f>((3749+499)*1000)/1000000</f>
        <v>4.2480000000000002</v>
      </c>
      <c r="O295" s="233">
        <f t="shared" si="62"/>
        <v>9.9999625000000005</v>
      </c>
      <c r="P295" s="233">
        <f t="shared" si="52"/>
        <v>5.08</v>
      </c>
      <c r="Q295" s="233">
        <f t="shared" si="53"/>
        <v>4.9199625000000005</v>
      </c>
      <c r="R295" s="217" t="s">
        <v>284</v>
      </c>
      <c r="S295" s="216" t="s">
        <v>1024</v>
      </c>
      <c r="T295" s="222" t="s">
        <v>282</v>
      </c>
      <c r="U295" s="222" t="s">
        <v>283</v>
      </c>
      <c r="V295" s="222"/>
    </row>
    <row r="296" spans="1:30" ht="86.45" customHeight="1" x14ac:dyDescent="0.75">
      <c r="A296" s="333"/>
      <c r="B296" s="353"/>
      <c r="C296" s="333"/>
      <c r="D296" s="354"/>
      <c r="E296" s="221"/>
      <c r="F296" s="216" t="s">
        <v>22</v>
      </c>
      <c r="G296" s="216">
        <v>11.5</v>
      </c>
      <c r="H296" s="233">
        <f>89716925/1000000</f>
        <v>89.716925000000003</v>
      </c>
      <c r="I296" s="233">
        <f>+H296*0.02</f>
        <v>1.7943385000000001</v>
      </c>
      <c r="J296" s="233">
        <v>0</v>
      </c>
      <c r="K296" s="233">
        <f>(1671*1000)/1000000</f>
        <v>1.671</v>
      </c>
      <c r="L296" s="233">
        <f>+H296*(10.5/100)</f>
        <v>9.4202771250000001</v>
      </c>
      <c r="M296" s="237">
        <v>0</v>
      </c>
      <c r="N296" s="233">
        <f>((8142+629)*1000)/1000000</f>
        <v>8.7710000000000008</v>
      </c>
      <c r="O296" s="233">
        <f t="shared" si="62"/>
        <v>11.214615625</v>
      </c>
      <c r="P296" s="233">
        <f t="shared" si="52"/>
        <v>10.442</v>
      </c>
      <c r="Q296" s="233">
        <f t="shared" si="53"/>
        <v>0.77261562500000025</v>
      </c>
      <c r="R296" s="216" t="s">
        <v>19</v>
      </c>
      <c r="S296" s="216" t="s">
        <v>86</v>
      </c>
      <c r="T296" s="222" t="s">
        <v>282</v>
      </c>
      <c r="U296" s="222" t="s">
        <v>283</v>
      </c>
      <c r="V296" s="222"/>
      <c r="W296" s="14"/>
      <c r="X296" s="14"/>
      <c r="Y296" s="14"/>
      <c r="Z296" s="14"/>
      <c r="AA296" s="14"/>
      <c r="AB296" s="14"/>
      <c r="AC296" s="14"/>
      <c r="AD296" s="14"/>
    </row>
    <row r="297" spans="1:30" ht="86.45" customHeight="1" x14ac:dyDescent="0.75">
      <c r="A297" s="333"/>
      <c r="B297" s="353"/>
      <c r="C297" s="333"/>
      <c r="D297" s="354"/>
      <c r="E297" s="221"/>
      <c r="F297" s="216" t="s">
        <v>24</v>
      </c>
      <c r="G297" s="216">
        <v>11.05</v>
      </c>
      <c r="H297" s="233">
        <v>86.658973000000003</v>
      </c>
      <c r="I297" s="233">
        <f>+H297*(2.75/100)</f>
        <v>2.3831217575000001</v>
      </c>
      <c r="J297" s="233">
        <v>0</v>
      </c>
      <c r="K297" s="233">
        <f>((723+1306+1)*1000)/1000000</f>
        <v>2.0299999999999998</v>
      </c>
      <c r="L297" s="233">
        <f>+H297*(11/100)</f>
        <v>9.5324870300000004</v>
      </c>
      <c r="M297" s="237">
        <v>0</v>
      </c>
      <c r="N297" s="233">
        <f>((1452+6482)*1000)/1000000</f>
        <v>7.9340000000000002</v>
      </c>
      <c r="O297" s="233">
        <f t="shared" si="62"/>
        <v>11.9156087875</v>
      </c>
      <c r="P297" s="233">
        <f t="shared" si="52"/>
        <v>9.9640000000000004</v>
      </c>
      <c r="Q297" s="233">
        <f t="shared" si="53"/>
        <v>1.9516087874999997</v>
      </c>
      <c r="R297" s="217" t="s">
        <v>496</v>
      </c>
      <c r="S297" s="216" t="s">
        <v>87</v>
      </c>
      <c r="T297" s="222" t="s">
        <v>282</v>
      </c>
      <c r="U297" s="222" t="s">
        <v>283</v>
      </c>
      <c r="V297" s="222"/>
      <c r="W297" s="14"/>
      <c r="X297" s="14"/>
      <c r="Y297" s="14"/>
      <c r="Z297" s="14"/>
      <c r="AA297" s="14"/>
      <c r="AB297" s="14"/>
      <c r="AC297" s="14"/>
      <c r="AD297" s="14"/>
    </row>
    <row r="298" spans="1:30" ht="86.45" customHeight="1" x14ac:dyDescent="0.75">
      <c r="A298" s="333"/>
      <c r="B298" s="353"/>
      <c r="C298" s="333"/>
      <c r="D298" s="354"/>
      <c r="E298" s="221"/>
      <c r="F298" s="216" t="s">
        <v>27</v>
      </c>
      <c r="G298" s="223">
        <v>11.5</v>
      </c>
      <c r="H298" s="234">
        <f>84014081/1000000</f>
        <v>84.014081000000004</v>
      </c>
      <c r="I298" s="234">
        <f>+H298*(3.5/100)</f>
        <v>2.9404928350000006</v>
      </c>
      <c r="J298" s="234">
        <v>0</v>
      </c>
      <c r="K298" s="234">
        <f>((0)*1000)/1000000</f>
        <v>0</v>
      </c>
      <c r="L298" s="234">
        <f>+H298*(11.5/100)</f>
        <v>9.6616193150000012</v>
      </c>
      <c r="M298" s="238">
        <v>0</v>
      </c>
      <c r="N298" s="234">
        <f>((0)*1000)/1000000</f>
        <v>0</v>
      </c>
      <c r="O298" s="234">
        <f t="shared" si="62"/>
        <v>12.602112150000002</v>
      </c>
      <c r="P298" s="234">
        <f t="shared" si="52"/>
        <v>0</v>
      </c>
      <c r="Q298" s="233">
        <f t="shared" si="53"/>
        <v>12.602112150000002</v>
      </c>
      <c r="R298" s="217" t="s">
        <v>497</v>
      </c>
      <c r="S298" s="216" t="s">
        <v>85</v>
      </c>
      <c r="T298" s="222" t="s">
        <v>344</v>
      </c>
      <c r="U298" s="222"/>
      <c r="V298" s="222"/>
      <c r="W298" s="14"/>
      <c r="X298" s="14"/>
      <c r="Y298" s="14"/>
      <c r="Z298" s="14"/>
      <c r="AA298" s="14"/>
      <c r="AB298" s="14"/>
      <c r="AC298" s="14"/>
      <c r="AD298" s="14"/>
    </row>
    <row r="299" spans="1:30" ht="86.45" customHeight="1" x14ac:dyDescent="0.75">
      <c r="A299" s="247"/>
      <c r="B299" s="324" t="s">
        <v>896</v>
      </c>
      <c r="C299" s="330" t="s">
        <v>511</v>
      </c>
      <c r="D299" s="347">
        <v>430019002670</v>
      </c>
      <c r="E299" s="347" t="s">
        <v>1298</v>
      </c>
      <c r="F299" s="216" t="s">
        <v>18</v>
      </c>
      <c r="G299" s="216">
        <v>15</v>
      </c>
      <c r="H299" s="233">
        <v>100.72346</v>
      </c>
      <c r="I299" s="233">
        <v>0.50361730000000005</v>
      </c>
      <c r="J299" s="233">
        <v>0</v>
      </c>
      <c r="K299" s="233">
        <v>0.39900000000000002</v>
      </c>
      <c r="L299" s="233">
        <v>8.5614941000000009</v>
      </c>
      <c r="M299" s="237">
        <v>0</v>
      </c>
      <c r="N299" s="233">
        <v>6.7839999999999998</v>
      </c>
      <c r="O299" s="233">
        <v>9.065111400000001</v>
      </c>
      <c r="P299" s="233">
        <v>7.1829999999999998</v>
      </c>
      <c r="Q299" s="233">
        <v>1.8821114000000012</v>
      </c>
      <c r="R299" s="217" t="s">
        <v>284</v>
      </c>
      <c r="S299" s="216" t="s">
        <v>1382</v>
      </c>
      <c r="T299" s="222"/>
      <c r="U299" s="222"/>
      <c r="V299" s="222"/>
      <c r="W299" s="14"/>
      <c r="X299" s="14"/>
      <c r="Y299" s="14"/>
      <c r="Z299" s="14"/>
      <c r="AA299" s="14"/>
      <c r="AB299" s="14"/>
      <c r="AC299" s="14"/>
      <c r="AD299" s="14"/>
    </row>
    <row r="300" spans="1:30" ht="86.45" customHeight="1" x14ac:dyDescent="0.75">
      <c r="A300" s="247"/>
      <c r="B300" s="325"/>
      <c r="C300" s="331"/>
      <c r="D300" s="349"/>
      <c r="E300" s="349"/>
      <c r="F300" s="216" t="s">
        <v>20</v>
      </c>
      <c r="G300" s="216">
        <v>15</v>
      </c>
      <c r="H300" s="233">
        <v>107.33881599999999</v>
      </c>
      <c r="I300" s="233">
        <v>0.53669407999999996</v>
      </c>
      <c r="J300" s="233">
        <v>0</v>
      </c>
      <c r="K300" s="233">
        <v>0.501</v>
      </c>
      <c r="L300" s="233">
        <v>9.1237993599999996</v>
      </c>
      <c r="M300" s="237">
        <v>0</v>
      </c>
      <c r="N300" s="233">
        <v>8.5220000000000002</v>
      </c>
      <c r="O300" s="233">
        <v>9.6604934399999998</v>
      </c>
      <c r="P300" s="233">
        <v>9.0229999999999997</v>
      </c>
      <c r="Q300" s="233">
        <v>0.63749344000000008</v>
      </c>
      <c r="R300" s="217" t="s">
        <v>284</v>
      </c>
      <c r="S300" s="216" t="s">
        <v>1383</v>
      </c>
      <c r="T300" s="222"/>
      <c r="U300" s="222"/>
      <c r="V300" s="222"/>
      <c r="W300" s="14"/>
      <c r="X300" s="14"/>
      <c r="Y300" s="14"/>
      <c r="Z300" s="14"/>
      <c r="AA300" s="14"/>
      <c r="AB300" s="14"/>
      <c r="AC300" s="14"/>
      <c r="AD300" s="14"/>
    </row>
    <row r="301" spans="1:30" s="244" customFormat="1" ht="86.45" customHeight="1" x14ac:dyDescent="0.75">
      <c r="A301" s="330">
        <v>109</v>
      </c>
      <c r="B301" s="325"/>
      <c r="C301" s="331"/>
      <c r="D301" s="349"/>
      <c r="E301" s="349"/>
      <c r="F301" s="216" t="s">
        <v>21</v>
      </c>
      <c r="G301" s="216">
        <v>15</v>
      </c>
      <c r="H301" s="233">
        <v>116.228725</v>
      </c>
      <c r="I301" s="233">
        <f>+H301*0.01</f>
        <v>1.1622872500000001</v>
      </c>
      <c r="J301" s="233">
        <f>(0.11995+0.22255)</f>
        <v>0.34250000000000003</v>
      </c>
      <c r="K301" s="233">
        <f>((473+64)*1000)/1000000</f>
        <v>0.53700000000000003</v>
      </c>
      <c r="L301" s="233">
        <f>+H301*(10/100)</f>
        <v>11.6228725</v>
      </c>
      <c r="M301" s="237">
        <v>0</v>
      </c>
      <c r="N301" s="233">
        <f>((4732+641)*1000)/1000000</f>
        <v>5.3730000000000002</v>
      </c>
      <c r="O301" s="233">
        <f>+I301+L301</f>
        <v>12.78515975</v>
      </c>
      <c r="P301" s="233">
        <f>+((J301+K301)+(M301+N301))</f>
        <v>6.2525000000000004</v>
      </c>
      <c r="Q301" s="233">
        <f>+O301-P301</f>
        <v>6.5326597499999997</v>
      </c>
      <c r="R301" s="217" t="s">
        <v>284</v>
      </c>
      <c r="S301" s="216" t="s">
        <v>1025</v>
      </c>
      <c r="T301" s="243" t="s">
        <v>282</v>
      </c>
      <c r="U301" s="243" t="s">
        <v>283</v>
      </c>
      <c r="V301" s="243"/>
    </row>
    <row r="302" spans="1:30" s="244" customFormat="1" ht="86.45" customHeight="1" x14ac:dyDescent="0.75">
      <c r="A302" s="331"/>
      <c r="B302" s="325"/>
      <c r="C302" s="331"/>
      <c r="D302" s="349"/>
      <c r="E302" s="349"/>
      <c r="F302" s="216" t="s">
        <v>22</v>
      </c>
      <c r="G302" s="223">
        <v>15</v>
      </c>
      <c r="H302" s="233">
        <f>116986825/1000000</f>
        <v>116.986825</v>
      </c>
      <c r="I302" s="233">
        <f>+H302*0.02</f>
        <v>2.3397364999999999</v>
      </c>
      <c r="J302" s="233">
        <v>0</v>
      </c>
      <c r="K302" s="233">
        <f>(2153*1000)/1000000</f>
        <v>2.153</v>
      </c>
      <c r="L302" s="233">
        <f>+H302*(10.5/100)</f>
        <v>12.283616624999999</v>
      </c>
      <c r="M302" s="237">
        <v>0</v>
      </c>
      <c r="N302" s="233">
        <f>((811+10491)*1000)/1000000</f>
        <v>11.302</v>
      </c>
      <c r="O302" s="233">
        <f>+I302+L302</f>
        <v>14.623353124999998</v>
      </c>
      <c r="P302" s="233">
        <f>+((J302+K302)+(M302+N302))</f>
        <v>13.455</v>
      </c>
      <c r="Q302" s="233">
        <f>+O302-P302</f>
        <v>1.1683531249999977</v>
      </c>
      <c r="R302" s="216" t="s">
        <v>284</v>
      </c>
      <c r="S302" s="216" t="s">
        <v>88</v>
      </c>
      <c r="T302" s="243" t="s">
        <v>282</v>
      </c>
      <c r="U302" s="243" t="s">
        <v>283</v>
      </c>
      <c r="V302" s="243"/>
      <c r="W302" s="245"/>
      <c r="X302" s="245"/>
      <c r="Y302" s="245"/>
      <c r="Z302" s="245"/>
      <c r="AA302" s="245"/>
      <c r="AB302" s="245"/>
      <c r="AC302" s="245"/>
      <c r="AD302" s="245"/>
    </row>
    <row r="303" spans="1:30" s="244" customFormat="1" ht="86.45" customHeight="1" x14ac:dyDescent="0.75">
      <c r="A303" s="331"/>
      <c r="B303" s="325"/>
      <c r="C303" s="331"/>
      <c r="D303" s="349"/>
      <c r="E303" s="349"/>
      <c r="F303" s="216" t="s">
        <v>24</v>
      </c>
      <c r="G303" s="223">
        <v>14.505000000000001</v>
      </c>
      <c r="H303" s="234">
        <v>118.947935</v>
      </c>
      <c r="I303" s="233">
        <f>+H303*(2.75/100)</f>
        <v>3.2710682124999999</v>
      </c>
      <c r="J303" s="233">
        <v>0</v>
      </c>
      <c r="K303" s="233">
        <f>((985+1768+2)*1000)/1000000</f>
        <v>2.7549999999999999</v>
      </c>
      <c r="L303" s="233">
        <f>+H303*(11/100)</f>
        <v>13.08427285</v>
      </c>
      <c r="M303" s="237">
        <v>0</v>
      </c>
      <c r="N303" s="233">
        <f>((1995+8776)*1000)/1000000</f>
        <v>10.771000000000001</v>
      </c>
      <c r="O303" s="233">
        <f t="shared" si="62"/>
        <v>16.355341062499999</v>
      </c>
      <c r="P303" s="233">
        <f t="shared" si="52"/>
        <v>13.526</v>
      </c>
      <c r="Q303" s="233">
        <f t="shared" si="53"/>
        <v>2.8293410624999993</v>
      </c>
      <c r="R303" s="217" t="s">
        <v>496</v>
      </c>
      <c r="S303" s="216" t="s">
        <v>89</v>
      </c>
      <c r="T303" s="243" t="s">
        <v>282</v>
      </c>
      <c r="U303" s="243" t="s">
        <v>283</v>
      </c>
      <c r="V303" s="243"/>
      <c r="W303" s="245"/>
      <c r="X303" s="245"/>
      <c r="Y303" s="245"/>
      <c r="Z303" s="245"/>
      <c r="AA303" s="245"/>
      <c r="AB303" s="245"/>
      <c r="AC303" s="245"/>
      <c r="AD303" s="245"/>
    </row>
    <row r="304" spans="1:30" s="244" customFormat="1" ht="86.45" customHeight="1" x14ac:dyDescent="0.75">
      <c r="A304" s="331"/>
      <c r="B304" s="325"/>
      <c r="C304" s="331"/>
      <c r="D304" s="349"/>
      <c r="E304" s="348"/>
      <c r="F304" s="216" t="s">
        <v>27</v>
      </c>
      <c r="G304" s="223">
        <v>14.505000000000001</v>
      </c>
      <c r="H304" s="234">
        <f>120478775/1000000</f>
        <v>120.478775</v>
      </c>
      <c r="I304" s="234">
        <f>+H304*(3.5/100)</f>
        <v>4.216757125</v>
      </c>
      <c r="J304" s="234">
        <v>0</v>
      </c>
      <c r="K304" s="234">
        <f>((0)*1000)/1000000</f>
        <v>0</v>
      </c>
      <c r="L304" s="234">
        <f>+H304*(11.5/100)</f>
        <v>13.855059125</v>
      </c>
      <c r="M304" s="238">
        <v>0</v>
      </c>
      <c r="N304" s="234">
        <f>((0)*1000)/1000000</f>
        <v>0</v>
      </c>
      <c r="O304" s="234">
        <f t="shared" si="62"/>
        <v>18.071816250000001</v>
      </c>
      <c r="P304" s="234">
        <f t="shared" si="52"/>
        <v>0</v>
      </c>
      <c r="Q304" s="233">
        <f t="shared" si="53"/>
        <v>18.071816250000001</v>
      </c>
      <c r="R304" s="217" t="s">
        <v>25</v>
      </c>
      <c r="S304" s="216" t="s">
        <v>85</v>
      </c>
      <c r="T304" s="243" t="s">
        <v>344</v>
      </c>
      <c r="U304" s="243"/>
      <c r="V304" s="243"/>
      <c r="W304" s="245"/>
      <c r="X304" s="245"/>
      <c r="Y304" s="245"/>
      <c r="Z304" s="245"/>
      <c r="AA304" s="245"/>
      <c r="AB304" s="245"/>
      <c r="AC304" s="245"/>
      <c r="AD304" s="245"/>
    </row>
    <row r="305" spans="1:30" s="244" customFormat="1" ht="86.45" customHeight="1" x14ac:dyDescent="0.75">
      <c r="A305" s="331"/>
      <c r="B305" s="325"/>
      <c r="C305" s="331"/>
      <c r="D305" s="349"/>
      <c r="E305" s="350" t="s">
        <v>1312</v>
      </c>
      <c r="F305" s="254" t="s">
        <v>18</v>
      </c>
      <c r="G305" s="265">
        <v>15</v>
      </c>
      <c r="H305" s="266">
        <v>84.168999999999997</v>
      </c>
      <c r="I305" s="266">
        <v>0.42099999999999999</v>
      </c>
      <c r="J305" s="266">
        <v>0</v>
      </c>
      <c r="K305" s="266">
        <v>0.39900000000000002</v>
      </c>
      <c r="L305" s="266">
        <v>7.1539999999999999</v>
      </c>
      <c r="M305" s="267">
        <v>0</v>
      </c>
      <c r="N305" s="266">
        <v>6.7839999999999998</v>
      </c>
      <c r="O305" s="266">
        <v>7.5750000000000002</v>
      </c>
      <c r="P305" s="266">
        <v>7.1829999999999998</v>
      </c>
      <c r="Q305" s="255">
        <f t="shared" si="53"/>
        <v>0.39200000000000035</v>
      </c>
      <c r="R305" s="258"/>
      <c r="S305" s="254"/>
      <c r="T305" s="243"/>
      <c r="U305" s="243"/>
      <c r="V305" s="243"/>
      <c r="W305" s="245"/>
      <c r="X305" s="245"/>
      <c r="Y305" s="245"/>
      <c r="Z305" s="245"/>
      <c r="AA305" s="245"/>
      <c r="AB305" s="245"/>
      <c r="AC305" s="245"/>
      <c r="AD305" s="245"/>
    </row>
    <row r="306" spans="1:30" s="244" customFormat="1" ht="86.45" customHeight="1" x14ac:dyDescent="0.75">
      <c r="A306" s="331"/>
      <c r="B306" s="325"/>
      <c r="C306" s="331"/>
      <c r="D306" s="349"/>
      <c r="E306" s="351"/>
      <c r="F306" s="254" t="s">
        <v>20</v>
      </c>
      <c r="G306" s="265">
        <v>15</v>
      </c>
      <c r="H306" s="266">
        <v>96.203000000000003</v>
      </c>
      <c r="I306" s="266">
        <v>0.48099999999999998</v>
      </c>
      <c r="J306" s="266">
        <v>0</v>
      </c>
      <c r="K306" s="266">
        <v>0.501</v>
      </c>
      <c r="L306" s="266">
        <v>8.1769999999999996</v>
      </c>
      <c r="M306" s="267">
        <v>0</v>
      </c>
      <c r="N306" s="266">
        <v>8.5220000000000002</v>
      </c>
      <c r="O306" s="266">
        <v>8.6579999999999995</v>
      </c>
      <c r="P306" s="266">
        <v>9.0229999999999997</v>
      </c>
      <c r="Q306" s="255">
        <f t="shared" si="53"/>
        <v>-0.36500000000000021</v>
      </c>
      <c r="R306" s="258"/>
      <c r="S306" s="254"/>
      <c r="T306" s="243"/>
      <c r="U306" s="243"/>
      <c r="V306" s="243"/>
      <c r="W306" s="245"/>
      <c r="X306" s="245"/>
      <c r="Y306" s="245"/>
      <c r="Z306" s="245"/>
      <c r="AA306" s="245"/>
      <c r="AB306" s="245"/>
      <c r="AC306" s="245"/>
      <c r="AD306" s="245"/>
    </row>
    <row r="307" spans="1:30" s="244" customFormat="1" ht="86.45" customHeight="1" x14ac:dyDescent="0.75">
      <c r="A307" s="331"/>
      <c r="B307" s="325"/>
      <c r="C307" s="331"/>
      <c r="D307" s="349"/>
      <c r="E307" s="351"/>
      <c r="F307" s="254" t="s">
        <v>21</v>
      </c>
      <c r="G307" s="265">
        <v>15</v>
      </c>
      <c r="H307" s="266">
        <v>106.22</v>
      </c>
      <c r="I307" s="266">
        <v>1.0620000000000001</v>
      </c>
      <c r="J307" s="266">
        <v>0.34200000000000003</v>
      </c>
      <c r="K307" s="266">
        <v>0.71699999999999997</v>
      </c>
      <c r="L307" s="266">
        <v>10.622</v>
      </c>
      <c r="M307" s="267">
        <v>0</v>
      </c>
      <c r="N307" s="266">
        <v>10.592000000000001</v>
      </c>
      <c r="O307" s="266">
        <v>11.683999999999999</v>
      </c>
      <c r="P307" s="266">
        <v>11.651</v>
      </c>
      <c r="Q307" s="255">
        <f t="shared" si="53"/>
        <v>3.2999999999999474E-2</v>
      </c>
      <c r="R307" s="258"/>
      <c r="S307" s="254"/>
      <c r="T307" s="243"/>
      <c r="U307" s="243"/>
      <c r="V307" s="243"/>
      <c r="W307" s="245"/>
      <c r="X307" s="245"/>
      <c r="Y307" s="245"/>
      <c r="Z307" s="245"/>
      <c r="AA307" s="245"/>
      <c r="AB307" s="245"/>
      <c r="AC307" s="245"/>
      <c r="AD307" s="245"/>
    </row>
    <row r="308" spans="1:30" s="244" customFormat="1" ht="86.45" customHeight="1" x14ac:dyDescent="0.75">
      <c r="A308" s="331"/>
      <c r="B308" s="325"/>
      <c r="C308" s="331"/>
      <c r="D308" s="349"/>
      <c r="E308" s="351"/>
      <c r="F308" s="254" t="s">
        <v>22</v>
      </c>
      <c r="G308" s="265">
        <v>15</v>
      </c>
      <c r="H308" s="266">
        <v>107.642</v>
      </c>
      <c r="I308" s="266">
        <v>2.153</v>
      </c>
      <c r="J308" s="266">
        <v>0</v>
      </c>
      <c r="K308" s="266">
        <v>2.153</v>
      </c>
      <c r="L308" s="266">
        <v>11.302</v>
      </c>
      <c r="M308" s="267">
        <v>0</v>
      </c>
      <c r="N308" s="266">
        <v>11.302</v>
      </c>
      <c r="O308" s="266">
        <v>13.455</v>
      </c>
      <c r="P308" s="266">
        <v>13.455</v>
      </c>
      <c r="Q308" s="255">
        <f t="shared" si="53"/>
        <v>0</v>
      </c>
      <c r="R308" s="258"/>
      <c r="S308" s="254"/>
      <c r="T308" s="243"/>
      <c r="U308" s="243"/>
      <c r="V308" s="243"/>
      <c r="W308" s="245"/>
      <c r="X308" s="245"/>
      <c r="Y308" s="245"/>
      <c r="Z308" s="245"/>
      <c r="AA308" s="245"/>
      <c r="AB308" s="245"/>
      <c r="AC308" s="245"/>
      <c r="AD308" s="245"/>
    </row>
    <row r="309" spans="1:30" s="244" customFormat="1" ht="86.45" customHeight="1" x14ac:dyDescent="0.75">
      <c r="A309" s="331"/>
      <c r="B309" s="325"/>
      <c r="C309" s="331"/>
      <c r="D309" s="349"/>
      <c r="E309" s="351"/>
      <c r="F309" s="254" t="s">
        <v>24</v>
      </c>
      <c r="G309" s="265">
        <v>14.505000000000001</v>
      </c>
      <c r="H309" s="266">
        <v>109.40900000000001</v>
      </c>
      <c r="I309" s="266">
        <v>3.0089999999999999</v>
      </c>
      <c r="J309" s="266">
        <v>0</v>
      </c>
      <c r="K309" s="266">
        <v>2.7549999999999999</v>
      </c>
      <c r="L309" s="266">
        <v>12.035</v>
      </c>
      <c r="M309" s="267">
        <v>0</v>
      </c>
      <c r="N309" s="266">
        <v>10.771000000000001</v>
      </c>
      <c r="O309" s="266">
        <v>15.044</v>
      </c>
      <c r="P309" s="266">
        <v>13.526</v>
      </c>
      <c r="Q309" s="255">
        <f t="shared" si="53"/>
        <v>1.5180000000000007</v>
      </c>
      <c r="R309" s="258"/>
      <c r="S309" s="254"/>
      <c r="T309" s="243"/>
      <c r="U309" s="243"/>
      <c r="V309" s="243"/>
      <c r="W309" s="245"/>
      <c r="X309" s="245"/>
      <c r="Y309" s="245"/>
      <c r="Z309" s="245"/>
      <c r="AA309" s="245"/>
      <c r="AB309" s="245"/>
      <c r="AC309" s="245"/>
      <c r="AD309" s="245"/>
    </row>
    <row r="310" spans="1:30" s="244" customFormat="1" ht="86.45" customHeight="1" x14ac:dyDescent="0.75">
      <c r="A310" s="332"/>
      <c r="B310" s="326"/>
      <c r="C310" s="332"/>
      <c r="D310" s="348"/>
      <c r="E310" s="352"/>
      <c r="F310" s="254" t="s">
        <v>27</v>
      </c>
      <c r="G310" s="265">
        <v>14.505000000000001</v>
      </c>
      <c r="H310" s="266">
        <v>112.20699999999999</v>
      </c>
      <c r="I310" s="266">
        <v>3.927</v>
      </c>
      <c r="J310" s="266">
        <v>0</v>
      </c>
      <c r="K310" s="266">
        <v>0</v>
      </c>
      <c r="L310" s="266">
        <v>12.904</v>
      </c>
      <c r="M310" s="267">
        <v>0</v>
      </c>
      <c r="N310" s="266">
        <v>0</v>
      </c>
      <c r="O310" s="266">
        <v>16.831</v>
      </c>
      <c r="P310" s="266">
        <v>0</v>
      </c>
      <c r="Q310" s="255">
        <f t="shared" si="53"/>
        <v>16.831</v>
      </c>
      <c r="R310" s="258"/>
      <c r="S310" s="254"/>
      <c r="T310" s="243"/>
      <c r="U310" s="243"/>
      <c r="V310" s="243"/>
      <c r="W310" s="245"/>
      <c r="X310" s="245"/>
      <c r="Y310" s="245"/>
      <c r="Z310" s="245"/>
      <c r="AA310" s="245"/>
      <c r="AB310" s="245"/>
      <c r="AC310" s="245"/>
      <c r="AD310" s="245"/>
    </row>
    <row r="311" spans="1:30" ht="86.45" customHeight="1" x14ac:dyDescent="0.75">
      <c r="A311" s="333">
        <v>110</v>
      </c>
      <c r="B311" s="353" t="s">
        <v>619</v>
      </c>
      <c r="C311" s="333" t="s">
        <v>511</v>
      </c>
      <c r="D311" s="354">
        <v>32949018554</v>
      </c>
      <c r="E311" s="221"/>
      <c r="F311" s="216" t="s">
        <v>18</v>
      </c>
      <c r="G311" s="216">
        <v>260</v>
      </c>
      <c r="H311" s="233">
        <v>2186.7651759999999</v>
      </c>
      <c r="I311" s="233">
        <f>+H311*0.005</f>
        <v>10.933825879999999</v>
      </c>
      <c r="J311" s="233">
        <v>0</v>
      </c>
      <c r="K311" s="233">
        <v>0</v>
      </c>
      <c r="L311" s="233">
        <f>+H311*(8.5/100)</f>
        <v>185.87503996000001</v>
      </c>
      <c r="M311" s="237">
        <v>0</v>
      </c>
      <c r="N311" s="233">
        <v>0</v>
      </c>
      <c r="O311" s="233">
        <f>+I311+L311</f>
        <v>196.80886584000001</v>
      </c>
      <c r="P311" s="233">
        <f>+((J311+K311)+(M311+N311))</f>
        <v>0</v>
      </c>
      <c r="Q311" s="233">
        <f>+O311-P311</f>
        <v>196.80886584000001</v>
      </c>
      <c r="R311" s="217" t="s">
        <v>284</v>
      </c>
      <c r="S311" s="216" t="s">
        <v>1026</v>
      </c>
      <c r="T311" s="222" t="s">
        <v>282</v>
      </c>
      <c r="U311" s="222" t="s">
        <v>283</v>
      </c>
      <c r="V311" s="222"/>
    </row>
    <row r="312" spans="1:30" ht="86.45" customHeight="1" x14ac:dyDescent="0.75">
      <c r="A312" s="333"/>
      <c r="B312" s="353"/>
      <c r="C312" s="333"/>
      <c r="D312" s="354"/>
      <c r="E312" s="221"/>
      <c r="F312" s="216" t="s">
        <v>20</v>
      </c>
      <c r="G312" s="216">
        <v>300</v>
      </c>
      <c r="H312" s="233">
        <v>1838.404996</v>
      </c>
      <c r="I312" s="233">
        <f>+H312*0.005</f>
        <v>9.1920249799999993</v>
      </c>
      <c r="J312" s="233">
        <v>0</v>
      </c>
      <c r="K312" s="233">
        <v>0</v>
      </c>
      <c r="L312" s="233">
        <f>+H312*(8.5/100)</f>
        <v>156.26442466</v>
      </c>
      <c r="M312" s="237">
        <v>0</v>
      </c>
      <c r="N312" s="233">
        <v>0</v>
      </c>
      <c r="O312" s="233">
        <f>+I312+L312</f>
        <v>165.45644964000002</v>
      </c>
      <c r="P312" s="233">
        <f>+((J312+K312)+(M312+N312))</f>
        <v>0</v>
      </c>
      <c r="Q312" s="233">
        <f>+O312-P312</f>
        <v>165.45644964000002</v>
      </c>
      <c r="R312" s="217" t="s">
        <v>284</v>
      </c>
      <c r="S312" s="216" t="s">
        <v>1027</v>
      </c>
      <c r="T312" s="222" t="s">
        <v>282</v>
      </c>
      <c r="U312" s="222" t="s">
        <v>283</v>
      </c>
      <c r="V312" s="222"/>
    </row>
    <row r="313" spans="1:30" ht="86.45" customHeight="1" x14ac:dyDescent="0.75">
      <c r="A313" s="333"/>
      <c r="B313" s="353"/>
      <c r="C313" s="333"/>
      <c r="D313" s="354"/>
      <c r="E313" s="221"/>
      <c r="F313" s="216" t="s">
        <v>21</v>
      </c>
      <c r="G313" s="216">
        <v>300</v>
      </c>
      <c r="H313" s="233">
        <v>2275.8471639999998</v>
      </c>
      <c r="I313" s="233">
        <f>+H313*0.01</f>
        <v>22.75847164</v>
      </c>
      <c r="J313" s="233">
        <v>0</v>
      </c>
      <c r="K313" s="233">
        <v>0</v>
      </c>
      <c r="L313" s="233">
        <f>+H313*(10/100)</f>
        <v>227.58471639999999</v>
      </c>
      <c r="M313" s="237">
        <v>0</v>
      </c>
      <c r="N313" s="233">
        <v>0</v>
      </c>
      <c r="O313" s="233">
        <f>+I313+L313</f>
        <v>250.34318804</v>
      </c>
      <c r="P313" s="233">
        <f>+((J313+K313)+(M313+N313))</f>
        <v>0</v>
      </c>
      <c r="Q313" s="233">
        <f>+O313-P313</f>
        <v>250.34318804</v>
      </c>
      <c r="R313" s="217" t="s">
        <v>307</v>
      </c>
      <c r="S313" s="216" t="s">
        <v>1028</v>
      </c>
      <c r="T313" s="222" t="s">
        <v>282</v>
      </c>
      <c r="U313" s="222" t="s">
        <v>283</v>
      </c>
      <c r="V313" s="222"/>
    </row>
    <row r="314" spans="1:30" ht="86.45" customHeight="1" x14ac:dyDescent="0.75">
      <c r="A314" s="333"/>
      <c r="B314" s="353"/>
      <c r="C314" s="333"/>
      <c r="D314" s="354"/>
      <c r="E314" s="221"/>
      <c r="F314" s="216" t="s">
        <v>22</v>
      </c>
      <c r="G314" s="216">
        <v>300</v>
      </c>
      <c r="H314" s="233">
        <f>2294227271/1000000</f>
        <v>2294.2272710000002</v>
      </c>
      <c r="I314" s="233">
        <f>+H314*0.02</f>
        <v>45.884545420000002</v>
      </c>
      <c r="J314" s="233">
        <v>0</v>
      </c>
      <c r="K314" s="233">
        <f>((0)*1000)/1000000</f>
        <v>0</v>
      </c>
      <c r="L314" s="233">
        <f>+H314*(10.5/100)</f>
        <v>240.893863455</v>
      </c>
      <c r="M314" s="237">
        <v>0</v>
      </c>
      <c r="N314" s="233">
        <f>(0*1000)/1000000</f>
        <v>0</v>
      </c>
      <c r="O314" s="233">
        <f t="shared" si="62"/>
        <v>286.77840887500003</v>
      </c>
      <c r="P314" s="233">
        <f t="shared" si="52"/>
        <v>0</v>
      </c>
      <c r="Q314" s="233">
        <f t="shared" si="53"/>
        <v>286.77840887500003</v>
      </c>
      <c r="R314" s="216" t="s">
        <v>284</v>
      </c>
      <c r="S314" s="216" t="s">
        <v>91</v>
      </c>
      <c r="T314" s="222" t="s">
        <v>282</v>
      </c>
      <c r="U314" s="222" t="s">
        <v>283</v>
      </c>
      <c r="V314" s="222"/>
      <c r="W314" s="14"/>
      <c r="X314" s="14"/>
      <c r="Y314" s="14"/>
      <c r="Z314" s="14"/>
      <c r="AA314" s="14"/>
      <c r="AB314" s="14"/>
      <c r="AC314" s="14"/>
      <c r="AD314" s="14"/>
    </row>
    <row r="315" spans="1:30" ht="86.45" customHeight="1" x14ac:dyDescent="0.75">
      <c r="A315" s="333"/>
      <c r="B315" s="353"/>
      <c r="C315" s="333"/>
      <c r="D315" s="354"/>
      <c r="E315" s="221"/>
      <c r="F315" s="216" t="s">
        <v>24</v>
      </c>
      <c r="G315" s="216">
        <v>300</v>
      </c>
      <c r="H315" s="233">
        <v>2450.7343110000002</v>
      </c>
      <c r="I315" s="233">
        <f>+H315*(2.75/100)</f>
        <v>67.395193552500004</v>
      </c>
      <c r="J315" s="233">
        <v>0</v>
      </c>
      <c r="K315" s="233">
        <f>((0)*1000)/1000000</f>
        <v>0</v>
      </c>
      <c r="L315" s="233">
        <f>+H315*(11/100)</f>
        <v>269.58077421000002</v>
      </c>
      <c r="M315" s="237">
        <v>0</v>
      </c>
      <c r="N315" s="233">
        <f>(0*1000)/1000000</f>
        <v>0</v>
      </c>
      <c r="O315" s="233">
        <f t="shared" si="62"/>
        <v>336.97596776250003</v>
      </c>
      <c r="P315" s="233">
        <f t="shared" si="52"/>
        <v>0</v>
      </c>
      <c r="Q315" s="233">
        <f t="shared" si="53"/>
        <v>336.97596776250003</v>
      </c>
      <c r="R315" s="217" t="s">
        <v>497</v>
      </c>
      <c r="S315" s="216" t="s">
        <v>26</v>
      </c>
      <c r="T315" s="222" t="s">
        <v>282</v>
      </c>
      <c r="U315" s="222" t="s">
        <v>283</v>
      </c>
      <c r="V315" s="222"/>
      <c r="W315" s="14"/>
      <c r="X315" s="14"/>
      <c r="Y315" s="14"/>
      <c r="Z315" s="14"/>
      <c r="AA315" s="14"/>
      <c r="AB315" s="14"/>
      <c r="AC315" s="14"/>
      <c r="AD315" s="14"/>
    </row>
    <row r="316" spans="1:30" ht="86.45" customHeight="1" x14ac:dyDescent="0.75">
      <c r="A316" s="333"/>
      <c r="B316" s="353"/>
      <c r="C316" s="333"/>
      <c r="D316" s="354"/>
      <c r="E316" s="221"/>
      <c r="F316" s="216" t="s">
        <v>27</v>
      </c>
      <c r="G316" s="216">
        <v>300</v>
      </c>
      <c r="H316" s="233">
        <v>1929.53682</v>
      </c>
      <c r="I316" s="233">
        <f>+H316*(3.5/100)</f>
        <v>67.533788700000002</v>
      </c>
      <c r="J316" s="233">
        <v>0</v>
      </c>
      <c r="K316" s="233">
        <f>((0)*1000)/1000000</f>
        <v>0</v>
      </c>
      <c r="L316" s="233">
        <f>+H316*(11.5/100)</f>
        <v>221.89673430000002</v>
      </c>
      <c r="M316" s="237">
        <v>0</v>
      </c>
      <c r="N316" s="233">
        <f>(0*1000)/1000000</f>
        <v>0</v>
      </c>
      <c r="O316" s="233">
        <f t="shared" si="62"/>
        <v>289.43052299999999</v>
      </c>
      <c r="P316" s="233">
        <f t="shared" si="52"/>
        <v>0</v>
      </c>
      <c r="Q316" s="233">
        <f t="shared" si="53"/>
        <v>289.43052299999999</v>
      </c>
      <c r="R316" s="217" t="s">
        <v>497</v>
      </c>
      <c r="S316" s="216" t="s">
        <v>28</v>
      </c>
      <c r="T316" s="222" t="s">
        <v>282</v>
      </c>
      <c r="U316" s="222" t="s">
        <v>283</v>
      </c>
      <c r="V316" s="222"/>
      <c r="W316" s="14"/>
      <c r="X316" s="14"/>
      <c r="Y316" s="14"/>
      <c r="Z316" s="14"/>
      <c r="AA316" s="14"/>
      <c r="AB316" s="14"/>
      <c r="AC316" s="14"/>
      <c r="AD316" s="14"/>
    </row>
    <row r="317" spans="1:30" ht="86.45" customHeight="1" x14ac:dyDescent="0.75">
      <c r="A317" s="330">
        <v>111</v>
      </c>
      <c r="B317" s="355" t="s">
        <v>92</v>
      </c>
      <c r="C317" s="330" t="s">
        <v>511</v>
      </c>
      <c r="D317" s="347">
        <v>187199004291</v>
      </c>
      <c r="E317" s="347" t="s">
        <v>1298</v>
      </c>
      <c r="F317" s="216" t="s">
        <v>20</v>
      </c>
      <c r="G317" s="216">
        <v>4.5</v>
      </c>
      <c r="H317" s="233">
        <v>24.010560000000002</v>
      </c>
      <c r="I317" s="233">
        <f>+H317*0.005</f>
        <v>0.12005280000000002</v>
      </c>
      <c r="J317" s="233">
        <v>0</v>
      </c>
      <c r="K317" s="233">
        <f>((15+68+30)*1000)/1000000</f>
        <v>0.113</v>
      </c>
      <c r="L317" s="233">
        <f>+H317*(8.5/100)</f>
        <v>2.0408976000000001</v>
      </c>
      <c r="M317" s="237">
        <v>0</v>
      </c>
      <c r="N317" s="233">
        <f>((248+1168+500)*1000)/1000000</f>
        <v>1.9159999999999999</v>
      </c>
      <c r="O317" s="233">
        <f>+I317+L317</f>
        <v>2.1609503999999999</v>
      </c>
      <c r="P317" s="233">
        <f>+((J317+K317)+(M317+N317))</f>
        <v>2.0289999999999999</v>
      </c>
      <c r="Q317" s="233">
        <f>+O317-P317</f>
        <v>0.13195040000000002</v>
      </c>
      <c r="R317" s="217" t="s">
        <v>292</v>
      </c>
      <c r="S317" s="216" t="s">
        <v>1029</v>
      </c>
      <c r="T317" s="222" t="s">
        <v>282</v>
      </c>
      <c r="U317" s="222" t="s">
        <v>283</v>
      </c>
      <c r="V317" s="222"/>
    </row>
    <row r="318" spans="1:30" ht="86.45" customHeight="1" x14ac:dyDescent="0.75">
      <c r="A318" s="331"/>
      <c r="B318" s="363"/>
      <c r="C318" s="331"/>
      <c r="D318" s="349"/>
      <c r="E318" s="348"/>
      <c r="F318" s="216" t="s">
        <v>21</v>
      </c>
      <c r="G318" s="216">
        <v>7</v>
      </c>
      <c r="H318" s="233">
        <v>35.852640000000001</v>
      </c>
      <c r="I318" s="233">
        <f>+H318*0.01</f>
        <v>0.35852640000000002</v>
      </c>
      <c r="J318" s="233">
        <v>0</v>
      </c>
      <c r="K318" s="233">
        <f>((30+30+8+44+26+26+27+29+27+27+54)*1000)/1000000</f>
        <v>0.32800000000000001</v>
      </c>
      <c r="L318" s="233">
        <f>+H318*(10/100)</f>
        <v>3.5852640000000005</v>
      </c>
      <c r="M318" s="237">
        <v>0</v>
      </c>
      <c r="N318" s="233">
        <f>((300+300+126+403+258+255+275+290+266+268+542)*1000)/1000000</f>
        <v>3.2829999999999999</v>
      </c>
      <c r="O318" s="233">
        <f t="shared" si="62"/>
        <v>3.9437904000000006</v>
      </c>
      <c r="P318" s="233">
        <f t="shared" ref="P318:P419" si="64">+((J318+K318)+(M318+N318))</f>
        <v>3.6109999999999998</v>
      </c>
      <c r="Q318" s="233">
        <f t="shared" ref="Q318:Q419" si="65">+O318-P318</f>
        <v>0.33279040000000082</v>
      </c>
      <c r="R318" s="217" t="s">
        <v>93</v>
      </c>
      <c r="S318" s="216" t="s">
        <v>1030</v>
      </c>
      <c r="T318" s="222" t="s">
        <v>282</v>
      </c>
      <c r="U318" s="222" t="s">
        <v>283</v>
      </c>
      <c r="V318" s="222"/>
    </row>
    <row r="319" spans="1:30" ht="86.45" customHeight="1" x14ac:dyDescent="0.75">
      <c r="A319" s="331"/>
      <c r="B319" s="363"/>
      <c r="C319" s="331"/>
      <c r="D319" s="349"/>
      <c r="E319" s="350" t="s">
        <v>1364</v>
      </c>
      <c r="F319" s="254" t="s">
        <v>20</v>
      </c>
      <c r="G319" s="254">
        <v>4.5</v>
      </c>
      <c r="H319" s="255">
        <v>22.531400000000001</v>
      </c>
      <c r="I319" s="255">
        <v>0.11260000000000001</v>
      </c>
      <c r="J319" s="255">
        <v>0</v>
      </c>
      <c r="K319" s="255">
        <v>0.113</v>
      </c>
      <c r="L319" s="255">
        <v>1.9151</v>
      </c>
      <c r="M319" s="256">
        <v>0</v>
      </c>
      <c r="N319" s="255">
        <v>1.9159999999999999</v>
      </c>
      <c r="O319" s="255">
        <v>2.0278339999999999</v>
      </c>
      <c r="P319" s="255">
        <v>2.0289999999999999</v>
      </c>
      <c r="Q319" s="255">
        <v>-1E-3</v>
      </c>
      <c r="R319" s="258"/>
      <c r="S319" s="254"/>
      <c r="T319" s="222"/>
      <c r="U319" s="222"/>
      <c r="V319" s="222"/>
    </row>
    <row r="320" spans="1:30" ht="86.45" customHeight="1" x14ac:dyDescent="0.75">
      <c r="A320" s="332"/>
      <c r="B320" s="356"/>
      <c r="C320" s="332"/>
      <c r="D320" s="348"/>
      <c r="E320" s="352"/>
      <c r="F320" s="254" t="s">
        <v>21</v>
      </c>
      <c r="G320" s="254">
        <v>7</v>
      </c>
      <c r="H320" s="255">
        <v>32.834000000000003</v>
      </c>
      <c r="I320" s="255">
        <v>0.32834269999999999</v>
      </c>
      <c r="J320" s="255">
        <v>0</v>
      </c>
      <c r="K320" s="255">
        <v>0.32800000000000001</v>
      </c>
      <c r="L320" s="255">
        <v>3.2833999999999999</v>
      </c>
      <c r="M320" s="256">
        <v>0</v>
      </c>
      <c r="N320" s="255">
        <v>3.2829999999999999</v>
      </c>
      <c r="O320" s="255">
        <v>3.6117689999999998</v>
      </c>
      <c r="P320" s="255">
        <v>3.6110000000000002</v>
      </c>
      <c r="Q320" s="255">
        <v>0</v>
      </c>
      <c r="R320" s="258"/>
      <c r="S320" s="254"/>
      <c r="T320" s="222"/>
      <c r="U320" s="222"/>
      <c r="V320" s="222"/>
    </row>
    <row r="321" spans="1:30" ht="86.45" customHeight="1" x14ac:dyDescent="0.75">
      <c r="A321" s="333">
        <v>112</v>
      </c>
      <c r="B321" s="353" t="s">
        <v>620</v>
      </c>
      <c r="C321" s="333" t="s">
        <v>515</v>
      </c>
      <c r="D321" s="354">
        <v>102698488</v>
      </c>
      <c r="E321" s="221"/>
      <c r="F321" s="216" t="s">
        <v>18</v>
      </c>
      <c r="G321" s="216">
        <v>2.65</v>
      </c>
      <c r="H321" s="233">
        <f>3585493.23921539/1000000</f>
        <v>3.5854932392153898</v>
      </c>
      <c r="I321" s="233">
        <f>+H321*0.005</f>
        <v>1.7927466196076949E-2</v>
      </c>
      <c r="J321" s="233">
        <v>0</v>
      </c>
      <c r="K321" s="233">
        <v>0</v>
      </c>
      <c r="L321" s="233">
        <f>+H321*(8.5/100)</f>
        <v>0.30476692533330813</v>
      </c>
      <c r="M321" s="237">
        <v>0</v>
      </c>
      <c r="N321" s="233">
        <v>0</v>
      </c>
      <c r="O321" s="233">
        <f t="shared" si="62"/>
        <v>0.32269439152938506</v>
      </c>
      <c r="P321" s="233">
        <f t="shared" si="64"/>
        <v>0</v>
      </c>
      <c r="Q321" s="233">
        <f t="shared" si="65"/>
        <v>0.32269439152938506</v>
      </c>
      <c r="R321" s="217" t="s">
        <v>948</v>
      </c>
      <c r="S321" s="216" t="s">
        <v>343</v>
      </c>
      <c r="T321" s="222" t="s">
        <v>344</v>
      </c>
      <c r="U321" s="222"/>
      <c r="V321" s="222"/>
    </row>
    <row r="322" spans="1:30" ht="86.45" customHeight="1" x14ac:dyDescent="0.75">
      <c r="A322" s="333"/>
      <c r="B322" s="353"/>
      <c r="C322" s="333"/>
      <c r="D322" s="354"/>
      <c r="E322" s="221"/>
      <c r="F322" s="216" t="s">
        <v>20</v>
      </c>
      <c r="G322" s="216">
        <v>1.8</v>
      </c>
      <c r="H322" s="233">
        <f>11629867.5623417/1000000</f>
        <v>11.629867562341699</v>
      </c>
      <c r="I322" s="233">
        <f>+H322*0.005</f>
        <v>5.8149337811708501E-2</v>
      </c>
      <c r="J322" s="233">
        <v>0</v>
      </c>
      <c r="K322" s="233">
        <v>0</v>
      </c>
      <c r="L322" s="233">
        <f>+H322*(8.5/100)</f>
        <v>0.98853874279904452</v>
      </c>
      <c r="M322" s="237">
        <v>0</v>
      </c>
      <c r="N322" s="233">
        <v>0</v>
      </c>
      <c r="O322" s="233">
        <f t="shared" si="62"/>
        <v>1.046688080610753</v>
      </c>
      <c r="P322" s="233">
        <f t="shared" si="64"/>
        <v>0</v>
      </c>
      <c r="Q322" s="233">
        <f t="shared" si="65"/>
        <v>1.046688080610753</v>
      </c>
      <c r="R322" s="217" t="s">
        <v>30</v>
      </c>
      <c r="S322" s="216" t="s">
        <v>443</v>
      </c>
      <c r="T322" s="222" t="s">
        <v>344</v>
      </c>
      <c r="U322" s="222"/>
      <c r="V322" s="222"/>
    </row>
    <row r="323" spans="1:30" ht="86.45" customHeight="1" x14ac:dyDescent="0.75">
      <c r="A323" s="216">
        <v>113</v>
      </c>
      <c r="B323" s="220" t="s">
        <v>797</v>
      </c>
      <c r="C323" s="216" t="s">
        <v>511</v>
      </c>
      <c r="D323" s="221">
        <v>250389007090</v>
      </c>
      <c r="E323" s="221"/>
      <c r="F323" s="216" t="s">
        <v>20</v>
      </c>
      <c r="G323" s="216">
        <v>1</v>
      </c>
      <c r="H323" s="233">
        <v>0.624</v>
      </c>
      <c r="I323" s="233">
        <f>+H323*0.005</f>
        <v>3.1199999999999999E-3</v>
      </c>
      <c r="J323" s="233">
        <v>0</v>
      </c>
      <c r="K323" s="233">
        <v>0</v>
      </c>
      <c r="L323" s="233">
        <f>+H323*(8.5/100)</f>
        <v>5.3040000000000004E-2</v>
      </c>
      <c r="M323" s="237">
        <v>0</v>
      </c>
      <c r="N323" s="233">
        <v>0</v>
      </c>
      <c r="O323" s="233">
        <f t="shared" si="62"/>
        <v>5.6160000000000002E-2</v>
      </c>
      <c r="P323" s="233">
        <f t="shared" si="64"/>
        <v>0</v>
      </c>
      <c r="Q323" s="233">
        <f t="shared" si="65"/>
        <v>5.6160000000000002E-2</v>
      </c>
      <c r="R323" s="217" t="s">
        <v>19</v>
      </c>
      <c r="S323" s="216" t="s">
        <v>447</v>
      </c>
      <c r="T323" s="222" t="s">
        <v>344</v>
      </c>
      <c r="U323" s="222"/>
      <c r="V323" s="222"/>
    </row>
    <row r="324" spans="1:30" s="244" customFormat="1" ht="86.45" customHeight="1" x14ac:dyDescent="0.75">
      <c r="A324" s="330">
        <v>114</v>
      </c>
      <c r="B324" s="324" t="s">
        <v>897</v>
      </c>
      <c r="C324" s="330" t="s">
        <v>511</v>
      </c>
      <c r="D324" s="347">
        <v>170019002848</v>
      </c>
      <c r="E324" s="347" t="s">
        <v>1298</v>
      </c>
      <c r="F324" s="216" t="s">
        <v>20</v>
      </c>
      <c r="G324" s="216">
        <v>1.5</v>
      </c>
      <c r="H324" s="233">
        <v>13.236520000000001</v>
      </c>
      <c r="I324" s="233">
        <f>+H324*0.005</f>
        <v>6.6182600000000008E-2</v>
      </c>
      <c r="J324" s="233">
        <v>0</v>
      </c>
      <c r="K324" s="233">
        <f>(((13+11+12+11+17+3)*1000)/1000000)</f>
        <v>6.7000000000000004E-2</v>
      </c>
      <c r="L324" s="233">
        <f>+H324*(8.5/100)</f>
        <v>1.1251042000000002</v>
      </c>
      <c r="M324" s="237">
        <v>0</v>
      </c>
      <c r="N324" s="233">
        <f>(((225+187+208+275+187+45)*1000)/1000000)</f>
        <v>1.127</v>
      </c>
      <c r="O324" s="233">
        <f t="shared" si="62"/>
        <v>1.1912868000000003</v>
      </c>
      <c r="P324" s="233">
        <f t="shared" si="64"/>
        <v>1.194</v>
      </c>
      <c r="Q324" s="233">
        <f t="shared" si="65"/>
        <v>-2.7131999999996381E-3</v>
      </c>
      <c r="R324" s="217" t="s">
        <v>19</v>
      </c>
      <c r="S324" s="216" t="s">
        <v>946</v>
      </c>
      <c r="T324" s="243" t="s">
        <v>282</v>
      </c>
      <c r="U324" s="243" t="s">
        <v>310</v>
      </c>
      <c r="V324" s="243"/>
    </row>
    <row r="325" spans="1:30" s="244" customFormat="1" ht="86.45" customHeight="1" x14ac:dyDescent="0.75">
      <c r="A325" s="331"/>
      <c r="B325" s="325"/>
      <c r="C325" s="331"/>
      <c r="D325" s="349"/>
      <c r="E325" s="349"/>
      <c r="F325" s="216" t="s">
        <v>21</v>
      </c>
      <c r="G325" s="216">
        <v>6</v>
      </c>
      <c r="H325" s="233">
        <v>47.929679999999998</v>
      </c>
      <c r="I325" s="233">
        <f>+H325*0.01</f>
        <v>0.47929679999999997</v>
      </c>
      <c r="J325" s="233">
        <f>(0.079+0.091+0.14+0.114)</f>
        <v>0.42399999999999999</v>
      </c>
      <c r="K325" s="233">
        <f>((33+3+65+20)*1000)/1000000</f>
        <v>0.121</v>
      </c>
      <c r="L325" s="233">
        <f>+H325*(10/100)</f>
        <v>4.7929680000000001</v>
      </c>
      <c r="M325" s="237">
        <v>0</v>
      </c>
      <c r="N325" s="233">
        <f>((275+283+45+364+405+1.145+425+405+880+400)*1000)/1000000</f>
        <v>3.4831449999999999</v>
      </c>
      <c r="O325" s="233">
        <f t="shared" si="62"/>
        <v>5.2722648000000003</v>
      </c>
      <c r="P325" s="233">
        <f t="shared" si="64"/>
        <v>4.0281450000000003</v>
      </c>
      <c r="Q325" s="233">
        <f t="shared" si="65"/>
        <v>1.2441198</v>
      </c>
      <c r="R325" s="217" t="s">
        <v>284</v>
      </c>
      <c r="S325" s="216" t="s">
        <v>1031</v>
      </c>
      <c r="T325" s="243" t="s">
        <v>282</v>
      </c>
      <c r="U325" s="243" t="s">
        <v>283</v>
      </c>
      <c r="V325" s="243"/>
    </row>
    <row r="326" spans="1:30" s="244" customFormat="1" ht="86.45" customHeight="1" x14ac:dyDescent="0.75">
      <c r="A326" s="331"/>
      <c r="B326" s="325"/>
      <c r="C326" s="331"/>
      <c r="D326" s="349"/>
      <c r="E326" s="348"/>
      <c r="F326" s="216" t="s">
        <v>22</v>
      </c>
      <c r="G326" s="223">
        <v>6</v>
      </c>
      <c r="H326" s="233">
        <f>32773320/1000000</f>
        <v>32.773319999999998</v>
      </c>
      <c r="I326" s="233">
        <f>+H326*0.02</f>
        <v>0.6554664</v>
      </c>
      <c r="J326" s="233">
        <v>0</v>
      </c>
      <c r="K326" s="233">
        <f>(626*1000)/1000000</f>
        <v>0.626</v>
      </c>
      <c r="L326" s="233">
        <f>+H326*(10.5/100)</f>
        <v>3.4411985999999999</v>
      </c>
      <c r="M326" s="237">
        <v>0</v>
      </c>
      <c r="N326" s="233">
        <f>((435+855+310+400+430+400+240+255+170+185)*1000)/1000000</f>
        <v>3.68</v>
      </c>
      <c r="O326" s="233">
        <f>+I326+L326</f>
        <v>4.0966649999999998</v>
      </c>
      <c r="P326" s="233">
        <f>+((J326+K326)+(M326+N326))</f>
        <v>4.306</v>
      </c>
      <c r="Q326" s="233">
        <f>+O326-P326</f>
        <v>-0.20933500000000027</v>
      </c>
      <c r="R326" s="216" t="s">
        <v>292</v>
      </c>
      <c r="S326" s="216" t="s">
        <v>129</v>
      </c>
      <c r="T326" s="243" t="s">
        <v>282</v>
      </c>
      <c r="U326" s="243" t="s">
        <v>310</v>
      </c>
      <c r="V326" s="243"/>
      <c r="W326" s="245"/>
      <c r="X326" s="245"/>
      <c r="Y326" s="245"/>
      <c r="Z326" s="245"/>
      <c r="AA326" s="245"/>
      <c r="AB326" s="245"/>
      <c r="AC326" s="245"/>
      <c r="AD326" s="245"/>
    </row>
    <row r="327" spans="1:30" s="244" customFormat="1" ht="86.45" customHeight="1" x14ac:dyDescent="0.75">
      <c r="A327" s="331"/>
      <c r="B327" s="325"/>
      <c r="C327" s="331"/>
      <c r="D327" s="349"/>
      <c r="E327" s="350" t="s">
        <v>1318</v>
      </c>
      <c r="F327" s="254" t="s">
        <v>20</v>
      </c>
      <c r="G327" s="265">
        <v>1.5</v>
      </c>
      <c r="H327" s="255">
        <v>13.236520000000001</v>
      </c>
      <c r="I327" s="255">
        <v>6.6183000000000006E-2</v>
      </c>
      <c r="J327" s="255">
        <v>0</v>
      </c>
      <c r="K327" s="255">
        <f>(((13+11+12+11+17+3)*1000)/1000000)</f>
        <v>6.7000000000000004E-2</v>
      </c>
      <c r="L327" s="255">
        <v>1.1251</v>
      </c>
      <c r="M327" s="256">
        <v>0</v>
      </c>
      <c r="N327" s="256">
        <v>1.127</v>
      </c>
      <c r="O327" s="255">
        <v>1.191287</v>
      </c>
      <c r="P327" s="255">
        <v>1.194</v>
      </c>
      <c r="Q327" s="255">
        <v>0</v>
      </c>
      <c r="R327" s="254"/>
      <c r="S327" s="254"/>
      <c r="T327" s="243"/>
      <c r="U327" s="243"/>
      <c r="V327" s="243"/>
      <c r="W327" s="245"/>
      <c r="X327" s="245"/>
      <c r="Y327" s="245"/>
      <c r="Z327" s="245"/>
      <c r="AA327" s="245"/>
      <c r="AB327" s="245"/>
      <c r="AC327" s="245"/>
      <c r="AD327" s="245"/>
    </row>
    <row r="328" spans="1:30" s="244" customFormat="1" ht="86.45" customHeight="1" x14ac:dyDescent="0.75">
      <c r="A328" s="331"/>
      <c r="B328" s="325"/>
      <c r="C328" s="331"/>
      <c r="D328" s="349"/>
      <c r="E328" s="351"/>
      <c r="F328" s="254" t="s">
        <v>21</v>
      </c>
      <c r="G328" s="265">
        <v>6</v>
      </c>
      <c r="H328" s="255">
        <v>45.510223000000003</v>
      </c>
      <c r="I328" s="255">
        <v>0.45510200000000001</v>
      </c>
      <c r="J328" s="255">
        <f>(0.079+0.091+0.14+0.114)</f>
        <v>0.42399999999999999</v>
      </c>
      <c r="K328" s="255">
        <f>((33+3+65+20)*1000)/1000000</f>
        <v>0.121</v>
      </c>
      <c r="L328" s="255">
        <v>4.5510200000000003</v>
      </c>
      <c r="M328" s="256">
        <v>0</v>
      </c>
      <c r="N328" s="256">
        <v>4.6269999999999998</v>
      </c>
      <c r="O328" s="255">
        <v>5.0061249999999999</v>
      </c>
      <c r="P328" s="255">
        <v>5.1719999999999997</v>
      </c>
      <c r="Q328" s="255">
        <v>-0.17</v>
      </c>
      <c r="R328" s="254"/>
      <c r="S328" s="254"/>
      <c r="T328" s="243"/>
      <c r="U328" s="243"/>
      <c r="V328" s="243"/>
      <c r="W328" s="245"/>
      <c r="X328" s="245"/>
      <c r="Y328" s="245"/>
      <c r="Z328" s="245"/>
      <c r="AA328" s="245"/>
      <c r="AB328" s="245"/>
      <c r="AC328" s="245"/>
      <c r="AD328" s="245"/>
    </row>
    <row r="329" spans="1:30" s="244" customFormat="1" ht="86.45" customHeight="1" x14ac:dyDescent="0.75">
      <c r="A329" s="332"/>
      <c r="B329" s="326"/>
      <c r="C329" s="332"/>
      <c r="D329" s="348"/>
      <c r="E329" s="352"/>
      <c r="F329" s="254" t="s">
        <v>22</v>
      </c>
      <c r="G329" s="265">
        <v>6</v>
      </c>
      <c r="H329" s="255">
        <v>31.316357</v>
      </c>
      <c r="I329" s="255">
        <v>0.62629999999999997</v>
      </c>
      <c r="J329" s="255">
        <v>0</v>
      </c>
      <c r="K329" s="255">
        <f>(626*1000)/1000000</f>
        <v>0.626</v>
      </c>
      <c r="L329" s="255">
        <v>3.2882199999999999</v>
      </c>
      <c r="M329" s="256">
        <v>0</v>
      </c>
      <c r="N329" s="256">
        <v>3.68</v>
      </c>
      <c r="O329" s="255">
        <v>3.9145449999999999</v>
      </c>
      <c r="P329" s="255">
        <v>4.306</v>
      </c>
      <c r="Q329" s="255">
        <v>-0.39</v>
      </c>
      <c r="R329" s="254"/>
      <c r="S329" s="254"/>
      <c r="T329" s="243"/>
      <c r="U329" s="243"/>
      <c r="V329" s="243"/>
      <c r="W329" s="245"/>
      <c r="X329" s="245"/>
      <c r="Y329" s="245"/>
      <c r="Z329" s="245"/>
      <c r="AA329" s="245"/>
      <c r="AB329" s="245"/>
      <c r="AC329" s="245"/>
      <c r="AD329" s="245"/>
    </row>
    <row r="330" spans="1:30" ht="126.75" customHeight="1" x14ac:dyDescent="0.75">
      <c r="A330" s="216">
        <v>115</v>
      </c>
      <c r="B330" s="220" t="s">
        <v>798</v>
      </c>
      <c r="C330" s="216" t="s">
        <v>511</v>
      </c>
      <c r="D330" s="221" t="s">
        <v>623</v>
      </c>
      <c r="E330" s="221"/>
      <c r="F330" s="216" t="s">
        <v>20</v>
      </c>
      <c r="G330" s="216">
        <v>2</v>
      </c>
      <c r="H330" s="233">
        <v>10.144558</v>
      </c>
      <c r="I330" s="233">
        <f t="shared" ref="I330:I350" si="66">+H330*0.005</f>
        <v>5.0722790000000004E-2</v>
      </c>
      <c r="J330" s="233">
        <v>0</v>
      </c>
      <c r="K330" s="233">
        <v>0</v>
      </c>
      <c r="L330" s="233">
        <f t="shared" ref="L330:L350" si="67">+H330*(8.5/100)</f>
        <v>0.86228743000000008</v>
      </c>
      <c r="M330" s="237">
        <v>0</v>
      </c>
      <c r="N330" s="233">
        <v>0</v>
      </c>
      <c r="O330" s="233">
        <f t="shared" si="62"/>
        <v>0.91301022000000009</v>
      </c>
      <c r="P330" s="233">
        <f t="shared" si="64"/>
        <v>0</v>
      </c>
      <c r="Q330" s="233">
        <f t="shared" si="65"/>
        <v>0.91301022000000009</v>
      </c>
      <c r="R330" s="217" t="s">
        <v>19</v>
      </c>
      <c r="S330" s="216" t="s">
        <v>449</v>
      </c>
      <c r="T330" s="222" t="s">
        <v>344</v>
      </c>
      <c r="U330" s="222"/>
      <c r="V330" s="222"/>
    </row>
    <row r="331" spans="1:30" ht="86.45" customHeight="1" x14ac:dyDescent="0.75">
      <c r="A331" s="330">
        <v>116</v>
      </c>
      <c r="B331" s="324" t="s">
        <v>799</v>
      </c>
      <c r="C331" s="330" t="s">
        <v>511</v>
      </c>
      <c r="D331" s="347">
        <v>170019005677</v>
      </c>
      <c r="E331" s="221" t="s">
        <v>1298</v>
      </c>
      <c r="F331" s="216" t="s">
        <v>20</v>
      </c>
      <c r="G331" s="216">
        <v>1</v>
      </c>
      <c r="H331" s="233">
        <v>1.049777</v>
      </c>
      <c r="I331" s="233">
        <f t="shared" si="66"/>
        <v>5.248885E-3</v>
      </c>
      <c r="J331" s="233">
        <v>0</v>
      </c>
      <c r="K331" s="233">
        <v>0</v>
      </c>
      <c r="L331" s="233">
        <f t="shared" si="67"/>
        <v>8.9231045000000009E-2</v>
      </c>
      <c r="M331" s="237">
        <v>0</v>
      </c>
      <c r="N331" s="233">
        <v>0</v>
      </c>
      <c r="O331" s="233">
        <f t="shared" si="62"/>
        <v>9.4479930000000004E-2</v>
      </c>
      <c r="P331" s="233">
        <f t="shared" si="64"/>
        <v>0</v>
      </c>
      <c r="Q331" s="233">
        <f t="shared" si="65"/>
        <v>9.4479930000000004E-2</v>
      </c>
      <c r="R331" s="217" t="s">
        <v>19</v>
      </c>
      <c r="S331" s="216" t="s">
        <v>446</v>
      </c>
      <c r="T331" s="222" t="s">
        <v>344</v>
      </c>
      <c r="U331" s="222"/>
      <c r="V331" s="222"/>
    </row>
    <row r="332" spans="1:30" ht="86.45" customHeight="1" x14ac:dyDescent="0.75">
      <c r="A332" s="332"/>
      <c r="B332" s="325"/>
      <c r="C332" s="331"/>
      <c r="D332" s="349"/>
      <c r="E332" s="272" t="s">
        <v>1400</v>
      </c>
      <c r="F332" s="254" t="s">
        <v>20</v>
      </c>
      <c r="G332" s="254">
        <v>3.49</v>
      </c>
      <c r="H332" s="255">
        <v>0.79500000000000004</v>
      </c>
      <c r="I332" s="255">
        <v>4.0000000000000001E-3</v>
      </c>
      <c r="J332" s="255">
        <v>0</v>
      </c>
      <c r="K332" s="255">
        <v>4.0000000000000001E-3</v>
      </c>
      <c r="L332" s="255">
        <v>6.7599999999999993E-2</v>
      </c>
      <c r="M332" s="256">
        <v>0</v>
      </c>
      <c r="N332" s="255">
        <v>6.8000000000000005E-2</v>
      </c>
      <c r="O332" s="255">
        <v>7.1999999999999995E-2</v>
      </c>
      <c r="P332" s="255">
        <v>7.1999999999999995E-2</v>
      </c>
      <c r="Q332" s="255">
        <v>0</v>
      </c>
      <c r="R332" s="258"/>
      <c r="S332" s="254"/>
      <c r="T332" s="222"/>
      <c r="U332" s="222"/>
      <c r="V332" s="222"/>
    </row>
    <row r="333" spans="1:30" ht="86.45" customHeight="1" x14ac:dyDescent="0.75">
      <c r="A333" s="330">
        <v>117</v>
      </c>
      <c r="B333" s="355" t="s">
        <v>800</v>
      </c>
      <c r="C333" s="330" t="s">
        <v>511</v>
      </c>
      <c r="D333" s="347">
        <v>184059039260</v>
      </c>
      <c r="E333" s="221" t="s">
        <v>1298</v>
      </c>
      <c r="F333" s="216" t="s">
        <v>20</v>
      </c>
      <c r="G333" s="216">
        <v>2.2000000000000002</v>
      </c>
      <c r="H333" s="233">
        <v>9.6236239999999995</v>
      </c>
      <c r="I333" s="233">
        <f t="shared" si="66"/>
        <v>4.811812E-2</v>
      </c>
      <c r="J333" s="233">
        <v>0</v>
      </c>
      <c r="K333" s="233">
        <v>0</v>
      </c>
      <c r="L333" s="233">
        <f t="shared" si="67"/>
        <v>0.81800804000000005</v>
      </c>
      <c r="M333" s="237">
        <v>0</v>
      </c>
      <c r="N333" s="233">
        <v>0</v>
      </c>
      <c r="O333" s="233">
        <f t="shared" si="62"/>
        <v>0.86612616000000009</v>
      </c>
      <c r="P333" s="233">
        <f t="shared" si="64"/>
        <v>0</v>
      </c>
      <c r="Q333" s="233">
        <f t="shared" si="65"/>
        <v>0.86612616000000009</v>
      </c>
      <c r="R333" s="217" t="s">
        <v>19</v>
      </c>
      <c r="S333" s="216" t="s">
        <v>449</v>
      </c>
      <c r="T333" s="222" t="s">
        <v>344</v>
      </c>
      <c r="U333" s="222"/>
      <c r="V333" s="222"/>
    </row>
    <row r="334" spans="1:30" ht="86.45" customHeight="1" x14ac:dyDescent="0.75">
      <c r="A334" s="331"/>
      <c r="B334" s="363"/>
      <c r="C334" s="331"/>
      <c r="D334" s="349"/>
      <c r="E334" s="351" t="s">
        <v>1400</v>
      </c>
      <c r="F334" s="259" t="s">
        <v>20</v>
      </c>
      <c r="G334" s="254">
        <v>2.2000000000000002</v>
      </c>
      <c r="H334" s="255">
        <v>8.9730000000000008</v>
      </c>
      <c r="I334" s="255">
        <v>4.9000000000000002E-2</v>
      </c>
      <c r="J334" s="255">
        <v>0</v>
      </c>
      <c r="K334" s="255">
        <v>0</v>
      </c>
      <c r="L334" s="255">
        <v>0.76270000000000004</v>
      </c>
      <c r="M334" s="256">
        <v>0</v>
      </c>
      <c r="N334" s="255">
        <v>0</v>
      </c>
      <c r="O334" s="255">
        <v>0.80800000000000005</v>
      </c>
      <c r="P334" s="255">
        <v>0</v>
      </c>
      <c r="Q334" s="255">
        <v>0.80800000000000005</v>
      </c>
      <c r="R334" s="258"/>
      <c r="S334" s="254"/>
      <c r="T334" s="222"/>
      <c r="U334" s="222"/>
      <c r="V334" s="222"/>
    </row>
    <row r="335" spans="1:30" ht="86.45" customHeight="1" x14ac:dyDescent="0.75">
      <c r="A335" s="331"/>
      <c r="B335" s="363"/>
      <c r="C335" s="331"/>
      <c r="D335" s="349"/>
      <c r="E335" s="351"/>
      <c r="F335" s="259" t="s">
        <v>21</v>
      </c>
      <c r="G335" s="254" t="s">
        <v>1401</v>
      </c>
      <c r="H335" s="255">
        <v>14.813000000000001</v>
      </c>
      <c r="I335" s="255">
        <v>0.14810000000000001</v>
      </c>
      <c r="J335" s="255">
        <v>0</v>
      </c>
      <c r="K335" s="255">
        <v>4.9000000000000002E-2</v>
      </c>
      <c r="L335" s="255">
        <v>1.4813000000000001</v>
      </c>
      <c r="M335" s="256">
        <v>0.39200000000000002</v>
      </c>
      <c r="N335" s="255">
        <v>0.83299999999999996</v>
      </c>
      <c r="O335" s="255">
        <v>1.629</v>
      </c>
      <c r="P335" s="255">
        <v>1.274</v>
      </c>
      <c r="Q335" s="255">
        <v>0.35499999999999998</v>
      </c>
      <c r="R335" s="258"/>
      <c r="S335" s="254"/>
      <c r="T335" s="222"/>
      <c r="U335" s="222"/>
      <c r="V335" s="222"/>
    </row>
    <row r="336" spans="1:30" ht="86.45" customHeight="1" x14ac:dyDescent="0.75">
      <c r="A336" s="331"/>
      <c r="B336" s="363"/>
      <c r="C336" s="331"/>
      <c r="D336" s="349"/>
      <c r="E336" s="351"/>
      <c r="F336" s="259" t="s">
        <v>22</v>
      </c>
      <c r="G336" s="254" t="s">
        <v>1401</v>
      </c>
      <c r="H336" s="255">
        <v>10.316000000000001</v>
      </c>
      <c r="I336" s="255">
        <v>0.20630000000000001</v>
      </c>
      <c r="J336" s="255">
        <v>0</v>
      </c>
      <c r="K336" s="255">
        <v>0</v>
      </c>
      <c r="L336" s="255">
        <v>1.0831999999999999</v>
      </c>
      <c r="M336" s="256">
        <v>4.7600000000000003E-2</v>
      </c>
      <c r="N336" s="255">
        <v>0</v>
      </c>
      <c r="O336" s="255">
        <v>1.2889999999999999</v>
      </c>
      <c r="P336" s="255">
        <v>4.8000000000000001E-2</v>
      </c>
      <c r="Q336" s="255">
        <v>1.242</v>
      </c>
      <c r="R336" s="258"/>
      <c r="S336" s="254"/>
      <c r="T336" s="222"/>
      <c r="U336" s="222"/>
      <c r="V336" s="222"/>
    </row>
    <row r="337" spans="1:30" s="244" customFormat="1" ht="86.45" customHeight="1" x14ac:dyDescent="0.75">
      <c r="A337" s="330">
        <v>118</v>
      </c>
      <c r="B337" s="324" t="s">
        <v>1402</v>
      </c>
      <c r="C337" s="330" t="s">
        <v>511</v>
      </c>
      <c r="D337" s="347">
        <v>31009022660</v>
      </c>
      <c r="E337" s="221" t="s">
        <v>1298</v>
      </c>
      <c r="F337" s="247" t="s">
        <v>20</v>
      </c>
      <c r="G337" s="216">
        <v>1</v>
      </c>
      <c r="H337" s="233">
        <v>9.5369679999999999</v>
      </c>
      <c r="I337" s="233">
        <f t="shared" si="66"/>
        <v>4.7684839999999999E-2</v>
      </c>
      <c r="J337" s="233">
        <v>0</v>
      </c>
      <c r="K337" s="233">
        <v>0</v>
      </c>
      <c r="L337" s="233">
        <f t="shared" si="67"/>
        <v>0.81064228000000005</v>
      </c>
      <c r="M337" s="237">
        <v>0</v>
      </c>
      <c r="N337" s="233">
        <v>0</v>
      </c>
      <c r="O337" s="233">
        <f t="shared" si="62"/>
        <v>0.85832712</v>
      </c>
      <c r="P337" s="233">
        <f t="shared" si="64"/>
        <v>0</v>
      </c>
      <c r="Q337" s="233">
        <f t="shared" si="65"/>
        <v>0.85832712</v>
      </c>
      <c r="R337" s="217" t="s">
        <v>19</v>
      </c>
      <c r="S337" s="216" t="s">
        <v>449</v>
      </c>
      <c r="T337" s="243" t="s">
        <v>344</v>
      </c>
      <c r="U337" s="243"/>
      <c r="V337" s="243"/>
    </row>
    <row r="338" spans="1:30" s="244" customFormat="1" ht="86.45" customHeight="1" x14ac:dyDescent="0.75">
      <c r="A338" s="332"/>
      <c r="B338" s="326"/>
      <c r="C338" s="332"/>
      <c r="D338" s="348"/>
      <c r="E338" s="260" t="s">
        <v>1310</v>
      </c>
      <c r="F338" s="259" t="s">
        <v>20</v>
      </c>
      <c r="G338" s="254">
        <v>1</v>
      </c>
      <c r="H338" s="255">
        <v>8.11</v>
      </c>
      <c r="I338" s="255">
        <v>4.8000000000000001E-2</v>
      </c>
      <c r="J338" s="255">
        <v>0</v>
      </c>
      <c r="K338" s="255">
        <v>4.1000000000000002E-2</v>
      </c>
      <c r="L338" s="255">
        <v>0.81100000000000005</v>
      </c>
      <c r="M338" s="255">
        <v>0</v>
      </c>
      <c r="N338" s="256">
        <v>0.68899999999999995</v>
      </c>
      <c r="O338" s="255">
        <v>0.73</v>
      </c>
      <c r="P338" s="255">
        <v>0.73099999999999998</v>
      </c>
      <c r="Q338" s="255">
        <v>1E-3</v>
      </c>
      <c r="R338" s="258"/>
      <c r="S338" s="254"/>
      <c r="T338" s="243"/>
      <c r="U338" s="243"/>
      <c r="V338" s="243"/>
    </row>
    <row r="339" spans="1:30" ht="86.45" customHeight="1" x14ac:dyDescent="0.75">
      <c r="A339" s="333">
        <v>119</v>
      </c>
      <c r="B339" s="353" t="s">
        <v>1289</v>
      </c>
      <c r="C339" s="333" t="s">
        <v>511</v>
      </c>
      <c r="D339" s="354" t="s">
        <v>628</v>
      </c>
      <c r="E339" s="221"/>
      <c r="F339" s="216" t="s">
        <v>18</v>
      </c>
      <c r="G339" s="216">
        <v>2</v>
      </c>
      <c r="H339" s="233">
        <v>15.204487</v>
      </c>
      <c r="I339" s="233">
        <f t="shared" si="66"/>
        <v>7.6022434999999999E-2</v>
      </c>
      <c r="J339" s="233">
        <v>0</v>
      </c>
      <c r="K339" s="233">
        <f>(6+6+5+6+5+11+6+5+4+6+6)/1000</f>
        <v>6.6000000000000003E-2</v>
      </c>
      <c r="L339" s="233">
        <f t="shared" si="67"/>
        <v>1.292381395</v>
      </c>
      <c r="M339" s="237">
        <v>0</v>
      </c>
      <c r="N339" s="233">
        <f>(93+97+100+90+95+179+98+92+89+87+102)/1000</f>
        <v>1.1220000000000001</v>
      </c>
      <c r="O339" s="233">
        <f t="shared" si="62"/>
        <v>1.3684038300000001</v>
      </c>
      <c r="P339" s="233">
        <f t="shared" si="64"/>
        <v>1.1880000000000002</v>
      </c>
      <c r="Q339" s="233">
        <f t="shared" si="65"/>
        <v>0.18040382999999993</v>
      </c>
      <c r="R339" s="217" t="s">
        <v>305</v>
      </c>
      <c r="S339" s="216" t="s">
        <v>978</v>
      </c>
      <c r="T339" s="222" t="s">
        <v>282</v>
      </c>
      <c r="U339" s="222" t="s">
        <v>283</v>
      </c>
      <c r="V339" s="222"/>
    </row>
    <row r="340" spans="1:30" ht="86.45" customHeight="1" x14ac:dyDescent="0.75">
      <c r="A340" s="333"/>
      <c r="B340" s="353"/>
      <c r="C340" s="333"/>
      <c r="D340" s="354"/>
      <c r="E340" s="221"/>
      <c r="F340" s="216" t="s">
        <v>20</v>
      </c>
      <c r="G340" s="216">
        <v>2.5</v>
      </c>
      <c r="H340" s="233">
        <v>14.312569999999999</v>
      </c>
      <c r="I340" s="233">
        <f t="shared" si="66"/>
        <v>7.1562849999999997E-2</v>
      </c>
      <c r="J340" s="233">
        <v>0</v>
      </c>
      <c r="K340" s="233">
        <v>0</v>
      </c>
      <c r="L340" s="233">
        <f t="shared" si="67"/>
        <v>1.21656845</v>
      </c>
      <c r="M340" s="237">
        <v>0</v>
      </c>
      <c r="N340" s="233">
        <v>0</v>
      </c>
      <c r="O340" s="233">
        <f t="shared" si="62"/>
        <v>1.2881313000000001</v>
      </c>
      <c r="P340" s="233">
        <f t="shared" si="64"/>
        <v>0</v>
      </c>
      <c r="Q340" s="233">
        <f t="shared" si="65"/>
        <v>1.2881313000000001</v>
      </c>
      <c r="R340" s="217" t="s">
        <v>19</v>
      </c>
      <c r="S340" s="216" t="s">
        <v>449</v>
      </c>
      <c r="T340" s="222" t="s">
        <v>344</v>
      </c>
      <c r="U340" s="222"/>
      <c r="V340" s="222"/>
    </row>
    <row r="341" spans="1:30" ht="86.45" customHeight="1" x14ac:dyDescent="0.75">
      <c r="A341" s="333">
        <v>120</v>
      </c>
      <c r="B341" s="353" t="s">
        <v>630</v>
      </c>
      <c r="C341" s="333" t="s">
        <v>511</v>
      </c>
      <c r="D341" s="354">
        <v>3019031660</v>
      </c>
      <c r="E341" s="221"/>
      <c r="F341" s="216" t="s">
        <v>18</v>
      </c>
      <c r="G341" s="216">
        <v>1</v>
      </c>
      <c r="H341" s="233">
        <v>7.4078369999999998</v>
      </c>
      <c r="I341" s="233">
        <f t="shared" si="66"/>
        <v>3.7039185000000002E-2</v>
      </c>
      <c r="J341" s="233">
        <v>0</v>
      </c>
      <c r="K341" s="233">
        <v>3.3000000000000002E-2</v>
      </c>
      <c r="L341" s="233">
        <f t="shared" si="67"/>
        <v>0.62966614500000007</v>
      </c>
      <c r="M341" s="237">
        <v>0</v>
      </c>
      <c r="N341" s="233">
        <v>0.56000000000000005</v>
      </c>
      <c r="O341" s="233">
        <f t="shared" si="62"/>
        <v>0.6667053300000001</v>
      </c>
      <c r="P341" s="233">
        <f t="shared" si="64"/>
        <v>0.59300000000000008</v>
      </c>
      <c r="Q341" s="233">
        <f t="shared" si="65"/>
        <v>7.3705330000000013E-2</v>
      </c>
      <c r="R341" s="217" t="s">
        <v>277</v>
      </c>
      <c r="S341" s="216" t="s">
        <v>1032</v>
      </c>
      <c r="T341" s="222" t="s">
        <v>282</v>
      </c>
      <c r="U341" s="222" t="s">
        <v>283</v>
      </c>
      <c r="V341" s="222"/>
    </row>
    <row r="342" spans="1:30" ht="86.45" customHeight="1" x14ac:dyDescent="0.75">
      <c r="A342" s="333"/>
      <c r="B342" s="353"/>
      <c r="C342" s="333"/>
      <c r="D342" s="354"/>
      <c r="E342" s="221"/>
      <c r="F342" s="216" t="s">
        <v>20</v>
      </c>
      <c r="G342" s="216">
        <v>1</v>
      </c>
      <c r="H342" s="233">
        <v>9.2152410000000007</v>
      </c>
      <c r="I342" s="233">
        <f t="shared" si="66"/>
        <v>4.6076205000000002E-2</v>
      </c>
      <c r="J342" s="233">
        <v>0</v>
      </c>
      <c r="K342" s="233">
        <f>(10+26+5+6)*1000/1000000</f>
        <v>4.7E-2</v>
      </c>
      <c r="L342" s="233">
        <f t="shared" si="67"/>
        <v>0.78329548500000012</v>
      </c>
      <c r="M342" s="237">
        <v>0</v>
      </c>
      <c r="N342" s="233">
        <f>(250+374+60+100)*1000/1000000</f>
        <v>0.78400000000000003</v>
      </c>
      <c r="O342" s="233">
        <f t="shared" si="62"/>
        <v>0.82937169000000011</v>
      </c>
      <c r="P342" s="233">
        <f t="shared" si="64"/>
        <v>0.83100000000000007</v>
      </c>
      <c r="Q342" s="233">
        <f t="shared" si="65"/>
        <v>-1.6283099999999662E-3</v>
      </c>
      <c r="R342" s="217" t="s">
        <v>284</v>
      </c>
      <c r="S342" s="216" t="s">
        <v>1033</v>
      </c>
      <c r="T342" s="222" t="s">
        <v>282</v>
      </c>
      <c r="U342" s="222" t="s">
        <v>310</v>
      </c>
      <c r="V342" s="222"/>
    </row>
    <row r="343" spans="1:30" ht="86.45" customHeight="1" x14ac:dyDescent="0.75">
      <c r="A343" s="216">
        <v>121</v>
      </c>
      <c r="B343" s="220" t="s">
        <v>801</v>
      </c>
      <c r="C343" s="216" t="s">
        <v>511</v>
      </c>
      <c r="D343" s="221">
        <v>170149001967</v>
      </c>
      <c r="E343" s="221"/>
      <c r="F343" s="216" t="s">
        <v>20</v>
      </c>
      <c r="G343" s="216">
        <v>1.3</v>
      </c>
      <c r="H343" s="233">
        <v>4.4730299999999996</v>
      </c>
      <c r="I343" s="233">
        <f t="shared" si="66"/>
        <v>2.2365149999999997E-2</v>
      </c>
      <c r="J343" s="233">
        <v>0</v>
      </c>
      <c r="K343" s="233">
        <v>0</v>
      </c>
      <c r="L343" s="233">
        <f t="shared" si="67"/>
        <v>0.38020755000000001</v>
      </c>
      <c r="M343" s="237">
        <v>0</v>
      </c>
      <c r="N343" s="233">
        <v>0</v>
      </c>
      <c r="O343" s="233">
        <f t="shared" si="62"/>
        <v>0.40257270000000001</v>
      </c>
      <c r="P343" s="233">
        <f t="shared" si="64"/>
        <v>0</v>
      </c>
      <c r="Q343" s="233">
        <f t="shared" si="65"/>
        <v>0.40257270000000001</v>
      </c>
      <c r="R343" s="217" t="s">
        <v>284</v>
      </c>
      <c r="S343" s="216" t="s">
        <v>446</v>
      </c>
      <c r="T343" s="222" t="s">
        <v>344</v>
      </c>
      <c r="U343" s="222"/>
      <c r="V343" s="222"/>
    </row>
    <row r="344" spans="1:30" ht="86.45" customHeight="1" x14ac:dyDescent="0.75">
      <c r="A344" s="216">
        <v>122</v>
      </c>
      <c r="B344" s="220" t="s">
        <v>802</v>
      </c>
      <c r="C344" s="216" t="s">
        <v>511</v>
      </c>
      <c r="D344" s="221">
        <v>176099030420</v>
      </c>
      <c r="E344" s="221"/>
      <c r="F344" s="216" t="s">
        <v>20</v>
      </c>
      <c r="G344" s="216">
        <v>2.99</v>
      </c>
      <c r="H344" s="233">
        <v>16.862234000000001</v>
      </c>
      <c r="I344" s="233">
        <f t="shared" si="66"/>
        <v>8.4311170000000005E-2</v>
      </c>
      <c r="J344" s="233">
        <v>0</v>
      </c>
      <c r="K344" s="233">
        <f>((18+71)*1000)/1000000</f>
        <v>8.8999999999999996E-2</v>
      </c>
      <c r="L344" s="233">
        <f t="shared" si="67"/>
        <v>1.4332898900000002</v>
      </c>
      <c r="M344" s="237">
        <v>2.1148400000000001</v>
      </c>
      <c r="N344" s="233">
        <f>((976)*1000)/1000000</f>
        <v>0.97599999999999998</v>
      </c>
      <c r="O344" s="233">
        <f t="shared" si="62"/>
        <v>1.5176010600000003</v>
      </c>
      <c r="P344" s="233">
        <f t="shared" si="64"/>
        <v>3.17984</v>
      </c>
      <c r="Q344" s="233">
        <f t="shared" si="65"/>
        <v>-1.6622389399999997</v>
      </c>
      <c r="R344" s="217" t="s">
        <v>284</v>
      </c>
      <c r="S344" s="216" t="s">
        <v>1034</v>
      </c>
      <c r="T344" s="222" t="s">
        <v>282</v>
      </c>
      <c r="U344" s="222" t="s">
        <v>310</v>
      </c>
      <c r="V344" s="222"/>
    </row>
    <row r="345" spans="1:30" s="244" customFormat="1" ht="86.45" customHeight="1" x14ac:dyDescent="0.75">
      <c r="A345" s="330">
        <v>123</v>
      </c>
      <c r="B345" s="324" t="s">
        <v>803</v>
      </c>
      <c r="C345" s="330" t="s">
        <v>511</v>
      </c>
      <c r="D345" s="347">
        <v>281729005620</v>
      </c>
      <c r="E345" s="221" t="s">
        <v>1298</v>
      </c>
      <c r="F345" s="247" t="s">
        <v>20</v>
      </c>
      <c r="G345" s="216">
        <v>1.95</v>
      </c>
      <c r="H345" s="233">
        <v>2.2873679999999998</v>
      </c>
      <c r="I345" s="233">
        <f t="shared" si="66"/>
        <v>1.143684E-2</v>
      </c>
      <c r="J345" s="233">
        <v>0</v>
      </c>
      <c r="K345" s="233">
        <v>8.9999999999999993E-3</v>
      </c>
      <c r="L345" s="233">
        <f t="shared" si="67"/>
        <v>0.19442628000000001</v>
      </c>
      <c r="M345" s="237">
        <v>0</v>
      </c>
      <c r="N345" s="233">
        <v>0.16700000000000001</v>
      </c>
      <c r="O345" s="233">
        <f t="shared" si="62"/>
        <v>0.20586312000000001</v>
      </c>
      <c r="P345" s="233">
        <f t="shared" si="64"/>
        <v>0.17600000000000002</v>
      </c>
      <c r="Q345" s="233">
        <f t="shared" si="65"/>
        <v>2.9863119999999993E-2</v>
      </c>
      <c r="R345" s="217" t="s">
        <v>284</v>
      </c>
      <c r="S345" s="216" t="s">
        <v>1035</v>
      </c>
      <c r="T345" s="243" t="s">
        <v>282</v>
      </c>
      <c r="U345" s="243" t="s">
        <v>283</v>
      </c>
      <c r="V345" s="243"/>
    </row>
    <row r="346" spans="1:30" s="244" customFormat="1" ht="86.45" customHeight="1" x14ac:dyDescent="0.75">
      <c r="A346" s="332"/>
      <c r="B346" s="326"/>
      <c r="C346" s="332"/>
      <c r="D346" s="348"/>
      <c r="E346" s="260" t="s">
        <v>1314</v>
      </c>
      <c r="F346" s="259" t="s">
        <v>20</v>
      </c>
      <c r="G346" s="254">
        <v>1.95</v>
      </c>
      <c r="H346" s="255">
        <v>1.966</v>
      </c>
      <c r="I346" s="255">
        <v>9.7000000000000003E-3</v>
      </c>
      <c r="J346" s="255">
        <v>0</v>
      </c>
      <c r="K346" s="255">
        <v>8.9999999999999993E-3</v>
      </c>
      <c r="L346" s="255">
        <f t="shared" si="67"/>
        <v>0.16711000000000001</v>
      </c>
      <c r="M346" s="256">
        <v>0</v>
      </c>
      <c r="N346" s="255">
        <v>0.16700000000000001</v>
      </c>
      <c r="O346" s="255">
        <f t="shared" si="62"/>
        <v>0.17681000000000002</v>
      </c>
      <c r="P346" s="255">
        <f t="shared" si="64"/>
        <v>0.17600000000000002</v>
      </c>
      <c r="Q346" s="255">
        <v>6.9999999999999999E-4</v>
      </c>
      <c r="R346" s="258"/>
      <c r="S346" s="254"/>
      <c r="T346" s="243"/>
      <c r="U346" s="243"/>
      <c r="V346" s="243"/>
    </row>
    <row r="347" spans="1:30" ht="86.45" customHeight="1" x14ac:dyDescent="0.75">
      <c r="A347" s="216">
        <v>124</v>
      </c>
      <c r="B347" s="220" t="s">
        <v>804</v>
      </c>
      <c r="C347" s="216" t="s">
        <v>511</v>
      </c>
      <c r="D347" s="221">
        <v>420819008970</v>
      </c>
      <c r="E347" s="221"/>
      <c r="F347" s="216" t="s">
        <v>20</v>
      </c>
      <c r="G347" s="216">
        <v>1</v>
      </c>
      <c r="H347" s="233">
        <v>1.4159999999999999</v>
      </c>
      <c r="I347" s="233">
        <f t="shared" si="66"/>
        <v>7.0799999999999995E-3</v>
      </c>
      <c r="J347" s="233">
        <v>0</v>
      </c>
      <c r="K347" s="233">
        <v>0</v>
      </c>
      <c r="L347" s="233">
        <f t="shared" si="67"/>
        <v>0.12036000000000001</v>
      </c>
      <c r="M347" s="237">
        <v>0</v>
      </c>
      <c r="N347" s="233">
        <v>0</v>
      </c>
      <c r="O347" s="233">
        <f t="shared" si="62"/>
        <v>0.12744</v>
      </c>
      <c r="P347" s="233">
        <f t="shared" si="64"/>
        <v>0</v>
      </c>
      <c r="Q347" s="233">
        <f t="shared" si="65"/>
        <v>0.12744</v>
      </c>
      <c r="R347" s="217" t="s">
        <v>19</v>
      </c>
      <c r="S347" s="216" t="s">
        <v>447</v>
      </c>
      <c r="T347" s="222" t="s">
        <v>344</v>
      </c>
      <c r="U347" s="222"/>
      <c r="V347" s="222"/>
    </row>
    <row r="348" spans="1:30" ht="86.45" customHeight="1" x14ac:dyDescent="0.75">
      <c r="A348" s="333">
        <v>125</v>
      </c>
      <c r="B348" s="353" t="s">
        <v>636</v>
      </c>
      <c r="C348" s="333" t="s">
        <v>511</v>
      </c>
      <c r="D348" s="354" t="s">
        <v>635</v>
      </c>
      <c r="E348" s="221"/>
      <c r="F348" s="216" t="s">
        <v>18</v>
      </c>
      <c r="G348" s="216">
        <v>4</v>
      </c>
      <c r="H348" s="233">
        <v>27.803307</v>
      </c>
      <c r="I348" s="233">
        <f>+H348*0.005</f>
        <v>0.139016535</v>
      </c>
      <c r="J348" s="233">
        <v>0</v>
      </c>
      <c r="K348" s="233">
        <v>0</v>
      </c>
      <c r="L348" s="233">
        <f>+H348*(8.5/100)</f>
        <v>2.3632810950000001</v>
      </c>
      <c r="M348" s="237">
        <v>0</v>
      </c>
      <c r="N348" s="233">
        <v>0</v>
      </c>
      <c r="O348" s="233">
        <f>+I348+L348</f>
        <v>2.5022976300000002</v>
      </c>
      <c r="P348" s="233">
        <f>+((J348+K348)+(M348+N348))</f>
        <v>0</v>
      </c>
      <c r="Q348" s="233">
        <f>+O348-P348</f>
        <v>2.5022976300000002</v>
      </c>
      <c r="R348" s="217" t="s">
        <v>19</v>
      </c>
      <c r="S348" s="216" t="s">
        <v>346</v>
      </c>
      <c r="T348" s="222" t="s">
        <v>344</v>
      </c>
      <c r="U348" s="222"/>
      <c r="V348" s="222"/>
    </row>
    <row r="349" spans="1:30" ht="86.45" customHeight="1" x14ac:dyDescent="0.75">
      <c r="A349" s="333"/>
      <c r="B349" s="353"/>
      <c r="C349" s="333"/>
      <c r="D349" s="354"/>
      <c r="E349" s="221"/>
      <c r="F349" s="216" t="s">
        <v>20</v>
      </c>
      <c r="G349" s="216">
        <v>4</v>
      </c>
      <c r="H349" s="233">
        <v>25.953441999999999</v>
      </c>
      <c r="I349" s="233">
        <f t="shared" si="66"/>
        <v>0.12976720999999999</v>
      </c>
      <c r="J349" s="233">
        <v>0</v>
      </c>
      <c r="K349" s="233">
        <v>0</v>
      </c>
      <c r="L349" s="233">
        <f t="shared" si="67"/>
        <v>2.2060425700000001</v>
      </c>
      <c r="M349" s="237">
        <v>0</v>
      </c>
      <c r="N349" s="233">
        <v>0</v>
      </c>
      <c r="O349" s="233">
        <f t="shared" si="62"/>
        <v>2.3358097799999999</v>
      </c>
      <c r="P349" s="233">
        <f t="shared" si="64"/>
        <v>0</v>
      </c>
      <c r="Q349" s="233">
        <f t="shared" si="65"/>
        <v>2.3358097799999999</v>
      </c>
      <c r="R349" s="217" t="s">
        <v>19</v>
      </c>
      <c r="S349" s="216" t="s">
        <v>446</v>
      </c>
      <c r="T349" s="222" t="s">
        <v>344</v>
      </c>
      <c r="U349" s="222"/>
      <c r="V349" s="222"/>
    </row>
    <row r="350" spans="1:30" ht="86.45" customHeight="1" x14ac:dyDescent="0.75">
      <c r="A350" s="333">
        <v>126</v>
      </c>
      <c r="B350" s="353" t="s">
        <v>1290</v>
      </c>
      <c r="C350" s="333" t="s">
        <v>511</v>
      </c>
      <c r="D350" s="354">
        <v>28619018861</v>
      </c>
      <c r="E350" s="221"/>
      <c r="F350" s="216" t="s">
        <v>20</v>
      </c>
      <c r="G350" s="216">
        <v>16.5</v>
      </c>
      <c r="H350" s="233">
        <v>37.22119</v>
      </c>
      <c r="I350" s="233">
        <f t="shared" si="66"/>
        <v>0.18610594999999999</v>
      </c>
      <c r="J350" s="233">
        <v>0</v>
      </c>
      <c r="K350" s="233">
        <f>(((178+9)*1000)/1000000)</f>
        <v>0.187</v>
      </c>
      <c r="L350" s="233">
        <f t="shared" si="67"/>
        <v>3.1638011500000003</v>
      </c>
      <c r="M350" s="237">
        <v>0</v>
      </c>
      <c r="N350" s="233">
        <f>(((3026+138)*1000)/1000000)</f>
        <v>3.1640000000000001</v>
      </c>
      <c r="O350" s="233">
        <f t="shared" si="62"/>
        <v>3.3499071000000002</v>
      </c>
      <c r="P350" s="233">
        <f t="shared" si="64"/>
        <v>3.351</v>
      </c>
      <c r="Q350" s="233">
        <f t="shared" si="65"/>
        <v>-1.0928999999997302E-3</v>
      </c>
      <c r="R350" s="217" t="s">
        <v>284</v>
      </c>
      <c r="S350" s="216" t="s">
        <v>1036</v>
      </c>
      <c r="T350" s="222" t="s">
        <v>282</v>
      </c>
      <c r="U350" s="222" t="s">
        <v>310</v>
      </c>
      <c r="V350" s="222"/>
    </row>
    <row r="351" spans="1:30" ht="86.45" customHeight="1" x14ac:dyDescent="0.75">
      <c r="A351" s="333"/>
      <c r="B351" s="353"/>
      <c r="C351" s="333"/>
      <c r="D351" s="354"/>
      <c r="E351" s="221"/>
      <c r="F351" s="216" t="s">
        <v>21</v>
      </c>
      <c r="G351" s="216">
        <v>11.7</v>
      </c>
      <c r="H351" s="233">
        <v>75.757018000000002</v>
      </c>
      <c r="I351" s="233">
        <f>+H351*0.01</f>
        <v>0.75757018000000009</v>
      </c>
      <c r="J351" s="233">
        <v>0</v>
      </c>
      <c r="K351" s="233">
        <f>(429*1000)/1000000</f>
        <v>0.42899999999999999</v>
      </c>
      <c r="L351" s="233">
        <f>+H351*(10/100)</f>
        <v>7.5757018000000009</v>
      </c>
      <c r="M351" s="237">
        <v>0</v>
      </c>
      <c r="N351" s="233">
        <f>(4293*1000)/1000000</f>
        <v>4.2930000000000001</v>
      </c>
      <c r="O351" s="233">
        <f t="shared" si="62"/>
        <v>8.333271980000001</v>
      </c>
      <c r="P351" s="233">
        <f t="shared" si="64"/>
        <v>4.7220000000000004</v>
      </c>
      <c r="Q351" s="233">
        <f t="shared" si="65"/>
        <v>3.6112719800000006</v>
      </c>
      <c r="R351" s="217" t="s">
        <v>284</v>
      </c>
      <c r="S351" s="216" t="s">
        <v>1037</v>
      </c>
      <c r="T351" s="222" t="s">
        <v>282</v>
      </c>
      <c r="U351" s="222" t="s">
        <v>283</v>
      </c>
      <c r="V351" s="222"/>
    </row>
    <row r="352" spans="1:30" ht="86.45" customHeight="1" x14ac:dyDescent="0.75">
      <c r="A352" s="333"/>
      <c r="B352" s="353"/>
      <c r="C352" s="333"/>
      <c r="D352" s="354"/>
      <c r="E352" s="221"/>
      <c r="F352" s="216" t="s">
        <v>22</v>
      </c>
      <c r="G352" s="216">
        <v>9</v>
      </c>
      <c r="H352" s="233">
        <f>7690080/1000000</f>
        <v>7.69008</v>
      </c>
      <c r="I352" s="233">
        <f>+H352*0.02</f>
        <v>0.15380160000000001</v>
      </c>
      <c r="J352" s="233">
        <v>0</v>
      </c>
      <c r="K352" s="233">
        <v>0</v>
      </c>
      <c r="L352" s="233">
        <f>+H352*(10.5/100)</f>
        <v>0.80745840000000002</v>
      </c>
      <c r="M352" s="237">
        <v>0</v>
      </c>
      <c r="N352" s="233">
        <v>0</v>
      </c>
      <c r="O352" s="233">
        <f t="shared" si="62"/>
        <v>0.96126</v>
      </c>
      <c r="P352" s="233">
        <f t="shared" si="64"/>
        <v>0</v>
      </c>
      <c r="Q352" s="233">
        <f t="shared" si="65"/>
        <v>0.96126</v>
      </c>
      <c r="R352" s="216" t="s">
        <v>19</v>
      </c>
      <c r="S352" s="216" t="s">
        <v>94</v>
      </c>
      <c r="T352" s="222" t="s">
        <v>344</v>
      </c>
      <c r="U352" s="222"/>
      <c r="V352" s="222"/>
      <c r="W352" s="14"/>
      <c r="X352" s="14"/>
      <c r="Y352" s="14"/>
      <c r="Z352" s="14"/>
      <c r="AA352" s="14"/>
      <c r="AB352" s="14"/>
      <c r="AC352" s="14"/>
      <c r="AD352" s="14"/>
    </row>
    <row r="353" spans="1:30" s="244" customFormat="1" ht="86.45" customHeight="1" x14ac:dyDescent="0.75">
      <c r="A353" s="330">
        <v>127</v>
      </c>
      <c r="B353" s="324" t="s">
        <v>805</v>
      </c>
      <c r="C353" s="330" t="s">
        <v>511</v>
      </c>
      <c r="D353" s="347" t="s">
        <v>639</v>
      </c>
      <c r="E353" s="221" t="s">
        <v>1298</v>
      </c>
      <c r="F353" s="216" t="s">
        <v>20</v>
      </c>
      <c r="G353" s="216">
        <v>1.7</v>
      </c>
      <c r="H353" s="233">
        <v>0.51368000000000003</v>
      </c>
      <c r="I353" s="233">
        <f>+H353*0.005</f>
        <v>2.5684000000000002E-3</v>
      </c>
      <c r="J353" s="233">
        <v>0</v>
      </c>
      <c r="K353" s="233">
        <v>0</v>
      </c>
      <c r="L353" s="233">
        <f>+H353*(8.5/100)</f>
        <v>4.3662800000000009E-2</v>
      </c>
      <c r="M353" s="237">
        <v>0</v>
      </c>
      <c r="N353" s="233">
        <v>0</v>
      </c>
      <c r="O353" s="233">
        <f t="shared" si="62"/>
        <v>4.6231200000000007E-2</v>
      </c>
      <c r="P353" s="233">
        <f t="shared" si="64"/>
        <v>0</v>
      </c>
      <c r="Q353" s="233">
        <f t="shared" si="65"/>
        <v>4.6231200000000007E-2</v>
      </c>
      <c r="R353" s="217" t="s">
        <v>19</v>
      </c>
      <c r="S353" s="216" t="s">
        <v>449</v>
      </c>
      <c r="T353" s="243" t="s">
        <v>344</v>
      </c>
      <c r="U353" s="243"/>
      <c r="V353" s="243"/>
    </row>
    <row r="354" spans="1:30" s="244" customFormat="1" ht="86.45" customHeight="1" x14ac:dyDescent="0.75">
      <c r="A354" s="332"/>
      <c r="B354" s="326"/>
      <c r="C354" s="332"/>
      <c r="D354" s="348"/>
      <c r="E354" s="260" t="s">
        <v>1346</v>
      </c>
      <c r="F354" s="259" t="s">
        <v>20</v>
      </c>
      <c r="G354" s="254">
        <v>1.7</v>
      </c>
      <c r="H354" s="255">
        <v>0.51400000000000001</v>
      </c>
      <c r="I354" s="255">
        <v>3.0000000000000001E-3</v>
      </c>
      <c r="J354" s="255">
        <v>0</v>
      </c>
      <c r="K354" s="255">
        <v>0</v>
      </c>
      <c r="L354" s="255">
        <v>4.3999999999999997E-2</v>
      </c>
      <c r="M354" s="256">
        <v>0</v>
      </c>
      <c r="N354" s="255">
        <v>0</v>
      </c>
      <c r="O354" s="255">
        <f t="shared" si="62"/>
        <v>4.7E-2</v>
      </c>
      <c r="P354" s="255">
        <f t="shared" si="64"/>
        <v>0</v>
      </c>
      <c r="Q354" s="255">
        <f t="shared" si="65"/>
        <v>4.7E-2</v>
      </c>
      <c r="R354" s="258"/>
      <c r="S354" s="254"/>
      <c r="T354" s="243"/>
      <c r="U354" s="243"/>
      <c r="V354" s="243"/>
    </row>
    <row r="355" spans="1:30" s="244" customFormat="1" ht="86.45" customHeight="1" x14ac:dyDescent="0.75">
      <c r="A355" s="330">
        <v>128</v>
      </c>
      <c r="B355" s="324" t="s">
        <v>806</v>
      </c>
      <c r="C355" s="330" t="s">
        <v>511</v>
      </c>
      <c r="D355" s="347" t="s">
        <v>641</v>
      </c>
      <c r="E355" s="221" t="s">
        <v>1298</v>
      </c>
      <c r="F355" s="216" t="s">
        <v>20</v>
      </c>
      <c r="G355" s="216">
        <v>1.9</v>
      </c>
      <c r="H355" s="233">
        <v>2.3126500000000001</v>
      </c>
      <c r="I355" s="233">
        <f>+H355*0.005</f>
        <v>1.1563250000000001E-2</v>
      </c>
      <c r="J355" s="233">
        <v>0</v>
      </c>
      <c r="K355" s="233">
        <f>(5+6)*1000/1000000</f>
        <v>1.0999999999999999E-2</v>
      </c>
      <c r="L355" s="233">
        <f>+H355*(8.5/100)</f>
        <v>0.19657525000000003</v>
      </c>
      <c r="M355" s="237">
        <v>0</v>
      </c>
      <c r="N355" s="233">
        <f>(62+109)*1000/1000000</f>
        <v>0.17100000000000001</v>
      </c>
      <c r="O355" s="233">
        <f t="shared" si="62"/>
        <v>0.20813850000000003</v>
      </c>
      <c r="P355" s="233">
        <f t="shared" si="64"/>
        <v>0.18200000000000002</v>
      </c>
      <c r="Q355" s="233">
        <f t="shared" si="65"/>
        <v>2.6138500000000009E-2</v>
      </c>
      <c r="R355" s="217" t="s">
        <v>284</v>
      </c>
      <c r="S355" s="216" t="s">
        <v>1038</v>
      </c>
      <c r="T355" s="243" t="s">
        <v>282</v>
      </c>
      <c r="U355" s="243" t="s">
        <v>283</v>
      </c>
      <c r="V355" s="243"/>
    </row>
    <row r="356" spans="1:30" s="244" customFormat="1" ht="86.45" customHeight="1" x14ac:dyDescent="0.75">
      <c r="A356" s="332"/>
      <c r="B356" s="326"/>
      <c r="C356" s="332"/>
      <c r="D356" s="348"/>
      <c r="E356" s="260" t="s">
        <v>1326</v>
      </c>
      <c r="F356" s="254" t="s">
        <v>20</v>
      </c>
      <c r="G356" s="254">
        <v>1.9</v>
      </c>
      <c r="H356" s="255">
        <v>2.0034000000000001</v>
      </c>
      <c r="I356" s="255">
        <v>1.0017E-2</v>
      </c>
      <c r="J356" s="255">
        <v>0</v>
      </c>
      <c r="K356" s="255">
        <v>1.0999999999999999E-2</v>
      </c>
      <c r="L356" s="255">
        <v>0.170293</v>
      </c>
      <c r="M356" s="256">
        <v>0</v>
      </c>
      <c r="N356" s="255">
        <v>0.17100000000000001</v>
      </c>
      <c r="O356" s="255">
        <v>0.180311</v>
      </c>
      <c r="P356" s="255">
        <v>0.182</v>
      </c>
      <c r="Q356" s="255">
        <f t="shared" si="65"/>
        <v>-1.6889999999999961E-3</v>
      </c>
      <c r="R356" s="258"/>
      <c r="S356" s="254"/>
      <c r="T356" s="243"/>
      <c r="U356" s="243"/>
      <c r="V356" s="243"/>
    </row>
    <row r="357" spans="1:30" ht="86.45" customHeight="1" x14ac:dyDescent="0.75">
      <c r="A357" s="216">
        <v>128</v>
      </c>
      <c r="B357" s="220" t="s">
        <v>807</v>
      </c>
      <c r="C357" s="216" t="s">
        <v>511</v>
      </c>
      <c r="D357" s="221">
        <v>490019000939</v>
      </c>
      <c r="E357" s="221"/>
      <c r="F357" s="216" t="s">
        <v>20</v>
      </c>
      <c r="G357" s="216">
        <v>2.7</v>
      </c>
      <c r="H357" s="233">
        <v>4.5753399999999997</v>
      </c>
      <c r="I357" s="233">
        <f>+H357*0.005</f>
        <v>2.28767E-2</v>
      </c>
      <c r="J357" s="233">
        <v>0</v>
      </c>
      <c r="K357" s="233">
        <f>(16+5)*1000/1000000</f>
        <v>2.1000000000000001E-2</v>
      </c>
      <c r="L357" s="233">
        <f>+H357*(8.5/100)</f>
        <v>0.38890390000000002</v>
      </c>
      <c r="M357" s="237">
        <v>0</v>
      </c>
      <c r="N357" s="233">
        <f>(282+64)*1000/1000000</f>
        <v>0.34599999999999997</v>
      </c>
      <c r="O357" s="233">
        <f t="shared" si="62"/>
        <v>0.41178060000000005</v>
      </c>
      <c r="P357" s="233">
        <f t="shared" si="64"/>
        <v>0.36699999999999999</v>
      </c>
      <c r="Q357" s="233">
        <f t="shared" si="65"/>
        <v>4.4780600000000059E-2</v>
      </c>
      <c r="R357" s="217" t="s">
        <v>284</v>
      </c>
      <c r="S357" s="216" t="s">
        <v>1039</v>
      </c>
      <c r="T357" s="222" t="s">
        <v>282</v>
      </c>
      <c r="U357" s="222" t="s">
        <v>283</v>
      </c>
      <c r="V357" s="222"/>
    </row>
    <row r="358" spans="1:30" s="244" customFormat="1" ht="86.45" customHeight="1" x14ac:dyDescent="0.75">
      <c r="A358" s="330">
        <v>129</v>
      </c>
      <c r="B358" s="324" t="s">
        <v>808</v>
      </c>
      <c r="C358" s="330" t="s">
        <v>511</v>
      </c>
      <c r="D358" s="347">
        <v>3019018121</v>
      </c>
      <c r="E358" s="347" t="s">
        <v>1298</v>
      </c>
      <c r="F358" s="216" t="s">
        <v>20</v>
      </c>
      <c r="G358" s="216">
        <v>15</v>
      </c>
      <c r="H358" s="233">
        <v>65.306004000000001</v>
      </c>
      <c r="I358" s="233">
        <f>+H358*0.005</f>
        <v>0.32653002000000003</v>
      </c>
      <c r="J358" s="233">
        <v>0</v>
      </c>
      <c r="K358" s="233">
        <f>(((313)*1000)/1000000)</f>
        <v>0.313</v>
      </c>
      <c r="L358" s="233">
        <f>+H358*(8.5/100)</f>
        <v>5.5510103400000004</v>
      </c>
      <c r="M358" s="237">
        <v>0</v>
      </c>
      <c r="N358" s="233">
        <f>(((5316)*1000)/1000000)</f>
        <v>5.3159999999999998</v>
      </c>
      <c r="O358" s="233">
        <f>+I358+L358</f>
        <v>5.8775403600000002</v>
      </c>
      <c r="P358" s="233">
        <f>+((J358+K358)+(M358+N358))</f>
        <v>5.6289999999999996</v>
      </c>
      <c r="Q358" s="233">
        <f>+O358-P358</f>
        <v>0.24854036000000068</v>
      </c>
      <c r="R358" s="217" t="s">
        <v>284</v>
      </c>
      <c r="S358" s="216" t="s">
        <v>946</v>
      </c>
      <c r="T358" s="243" t="s">
        <v>282</v>
      </c>
      <c r="U358" s="243" t="s">
        <v>283</v>
      </c>
      <c r="V358" s="243"/>
    </row>
    <row r="359" spans="1:30" s="244" customFormat="1" ht="86.45" customHeight="1" x14ac:dyDescent="0.75">
      <c r="A359" s="331"/>
      <c r="B359" s="325"/>
      <c r="C359" s="331"/>
      <c r="D359" s="349"/>
      <c r="E359" s="349"/>
      <c r="F359" s="216" t="s">
        <v>21</v>
      </c>
      <c r="G359" s="216">
        <v>12</v>
      </c>
      <c r="H359" s="233">
        <v>104.364153</v>
      </c>
      <c r="I359" s="233">
        <f>+H359*0.01</f>
        <v>1.0436415299999999</v>
      </c>
      <c r="J359" s="233">
        <v>0</v>
      </c>
      <c r="K359" s="233">
        <f>((82+83+168+167+341)*1000)/1000000</f>
        <v>0.84099999999999997</v>
      </c>
      <c r="L359" s="233">
        <f>+H359*(10/100)</f>
        <v>10.4364153</v>
      </c>
      <c r="M359" s="237">
        <v>0</v>
      </c>
      <c r="N359" s="233">
        <f>((5083+811+828+1680+1674+3412)*1000)/1000000</f>
        <v>13.488</v>
      </c>
      <c r="O359" s="233">
        <f>+I359+L359</f>
        <v>11.480056830000001</v>
      </c>
      <c r="P359" s="233">
        <f>+((J359+K359)+(M359+N359))</f>
        <v>14.328999999999999</v>
      </c>
      <c r="Q359" s="233">
        <f>+O359-P359</f>
        <v>-2.8489431699999983</v>
      </c>
      <c r="R359" s="217" t="s">
        <v>284</v>
      </c>
      <c r="S359" s="216" t="s">
        <v>1040</v>
      </c>
      <c r="T359" s="243" t="s">
        <v>282</v>
      </c>
      <c r="U359" s="243" t="s">
        <v>310</v>
      </c>
      <c r="V359" s="243"/>
    </row>
    <row r="360" spans="1:30" s="244" customFormat="1" ht="86.45" customHeight="1" x14ac:dyDescent="0.75">
      <c r="A360" s="331"/>
      <c r="B360" s="325"/>
      <c r="C360" s="331"/>
      <c r="D360" s="349"/>
      <c r="E360" s="349"/>
      <c r="F360" s="216" t="s">
        <v>22</v>
      </c>
      <c r="G360" s="216">
        <v>12</v>
      </c>
      <c r="H360" s="233">
        <f>95417225/1000000</f>
        <v>95.417225000000002</v>
      </c>
      <c r="I360" s="233">
        <f>+H360*0.02</f>
        <v>1.9083445000000001</v>
      </c>
      <c r="J360" s="233">
        <v>0</v>
      </c>
      <c r="K360" s="233">
        <f>(0*1000)/1000000</f>
        <v>0</v>
      </c>
      <c r="L360" s="233">
        <f>+H360*(10.5/100)</f>
        <v>10.018808625</v>
      </c>
      <c r="M360" s="237">
        <v>0</v>
      </c>
      <c r="N360" s="234">
        <f>((5083+1507+1031+1845+729)*1000)/1000000</f>
        <v>10.195</v>
      </c>
      <c r="O360" s="233">
        <f>+I360+L360</f>
        <v>11.927153125</v>
      </c>
      <c r="P360" s="233">
        <f>+((J360+K360)+(M360+N360))</f>
        <v>10.195</v>
      </c>
      <c r="Q360" s="233">
        <f>+O360-P360</f>
        <v>1.732153125</v>
      </c>
      <c r="R360" s="216" t="s">
        <v>19</v>
      </c>
      <c r="S360" s="216" t="s">
        <v>96</v>
      </c>
      <c r="T360" s="243" t="s">
        <v>282</v>
      </c>
      <c r="U360" s="243" t="s">
        <v>283</v>
      </c>
      <c r="V360" s="243"/>
      <c r="W360" s="245"/>
      <c r="X360" s="245"/>
      <c r="Y360" s="245"/>
      <c r="Z360" s="245"/>
      <c r="AA360" s="245"/>
      <c r="AB360" s="245"/>
      <c r="AC360" s="245"/>
      <c r="AD360" s="245"/>
    </row>
    <row r="361" spans="1:30" s="244" customFormat="1" ht="86.45" customHeight="1" x14ac:dyDescent="0.75">
      <c r="A361" s="331"/>
      <c r="B361" s="325"/>
      <c r="C361" s="331"/>
      <c r="D361" s="349"/>
      <c r="E361" s="348"/>
      <c r="F361" s="216" t="s">
        <v>24</v>
      </c>
      <c r="G361" s="216">
        <v>12</v>
      </c>
      <c r="H361" s="233">
        <v>59.028866000000001</v>
      </c>
      <c r="I361" s="233">
        <f>+H361*(2.75/100)+1.816</f>
        <v>3.4392938150000001</v>
      </c>
      <c r="J361" s="233">
        <v>0</v>
      </c>
      <c r="K361" s="233">
        <f>((2174+474+291+552+32)*1000)/1000000</f>
        <v>3.5230000000000001</v>
      </c>
      <c r="L361" s="233">
        <f>+H361*(11/100)+0.892</f>
        <v>7.3851752600000005</v>
      </c>
      <c r="M361" s="237">
        <v>0</v>
      </c>
      <c r="N361" s="234">
        <f>((1500+3056+899+1622+23)*1000)/1000000</f>
        <v>7.1</v>
      </c>
      <c r="O361" s="233">
        <f t="shared" si="62"/>
        <v>10.824469075</v>
      </c>
      <c r="P361" s="233">
        <f t="shared" si="64"/>
        <v>10.622999999999999</v>
      </c>
      <c r="Q361" s="233">
        <f t="shared" si="65"/>
        <v>0.20146907500000033</v>
      </c>
      <c r="R361" s="217" t="s">
        <v>497</v>
      </c>
      <c r="S361" s="216" t="s">
        <v>95</v>
      </c>
      <c r="T361" s="243" t="s">
        <v>282</v>
      </c>
      <c r="U361" s="243" t="s">
        <v>283</v>
      </c>
      <c r="V361" s="243"/>
      <c r="W361" s="245"/>
      <c r="X361" s="245"/>
      <c r="Y361" s="245"/>
      <c r="Z361" s="245"/>
      <c r="AA361" s="245"/>
      <c r="AB361" s="245"/>
      <c r="AC361" s="245"/>
      <c r="AD361" s="245"/>
    </row>
    <row r="362" spans="1:30" s="244" customFormat="1" ht="86.45" customHeight="1" x14ac:dyDescent="0.75">
      <c r="A362" s="331"/>
      <c r="B362" s="325"/>
      <c r="C362" s="331"/>
      <c r="D362" s="349"/>
      <c r="E362" s="350" t="s">
        <v>1316</v>
      </c>
      <c r="F362" s="254" t="s">
        <v>20</v>
      </c>
      <c r="G362" s="254">
        <v>12</v>
      </c>
      <c r="H362" s="255">
        <v>62.545000000000002</v>
      </c>
      <c r="I362" s="255">
        <v>0.313</v>
      </c>
      <c r="J362" s="255">
        <v>0</v>
      </c>
      <c r="K362" s="255">
        <v>0.313</v>
      </c>
      <c r="L362" s="255">
        <v>5.3159999999999998</v>
      </c>
      <c r="M362" s="256">
        <v>0</v>
      </c>
      <c r="N362" s="255">
        <v>5.3159999999999998</v>
      </c>
      <c r="O362" s="255">
        <v>5.6289999999999996</v>
      </c>
      <c r="P362" s="255">
        <v>5.6289999999999996</v>
      </c>
      <c r="Q362" s="255">
        <f t="shared" si="65"/>
        <v>0</v>
      </c>
      <c r="R362" s="258"/>
      <c r="S362" s="254"/>
      <c r="T362" s="243"/>
      <c r="U362" s="243"/>
      <c r="V362" s="243"/>
      <c r="W362" s="245"/>
      <c r="X362" s="245"/>
      <c r="Y362" s="245"/>
      <c r="Z362" s="245"/>
      <c r="AA362" s="245"/>
      <c r="AB362" s="245"/>
      <c r="AC362" s="245"/>
      <c r="AD362" s="245"/>
    </row>
    <row r="363" spans="1:30" s="244" customFormat="1" ht="86.45" customHeight="1" x14ac:dyDescent="0.75">
      <c r="A363" s="331"/>
      <c r="B363" s="325"/>
      <c r="C363" s="331"/>
      <c r="D363" s="349"/>
      <c r="E363" s="351"/>
      <c r="F363" s="254" t="s">
        <v>21</v>
      </c>
      <c r="G363" s="254">
        <v>12</v>
      </c>
      <c r="H363" s="255">
        <v>99.575000000000003</v>
      </c>
      <c r="I363" s="255">
        <v>0.996</v>
      </c>
      <c r="J363" s="255">
        <v>0</v>
      </c>
      <c r="K363" s="255">
        <v>0.84099999999999997</v>
      </c>
      <c r="L363" s="255">
        <v>9.9580000000000002</v>
      </c>
      <c r="M363" s="256">
        <v>0</v>
      </c>
      <c r="N363" s="255">
        <v>9.9580000000000002</v>
      </c>
      <c r="O363" s="255">
        <v>10.952999999999999</v>
      </c>
      <c r="P363" s="255">
        <v>10.798999999999999</v>
      </c>
      <c r="Q363" s="255">
        <f t="shared" si="65"/>
        <v>0.15399999999999991</v>
      </c>
      <c r="R363" s="258"/>
      <c r="S363" s="254"/>
      <c r="T363" s="243"/>
      <c r="U363" s="243"/>
      <c r="V363" s="243"/>
      <c r="W363" s="245"/>
      <c r="X363" s="245"/>
      <c r="Y363" s="245"/>
      <c r="Z363" s="245"/>
      <c r="AA363" s="245"/>
      <c r="AB363" s="245"/>
      <c r="AC363" s="245"/>
      <c r="AD363" s="245"/>
    </row>
    <row r="364" spans="1:30" s="244" customFormat="1" ht="86.45" customHeight="1" x14ac:dyDescent="0.75">
      <c r="A364" s="331"/>
      <c r="B364" s="325"/>
      <c r="C364" s="331"/>
      <c r="D364" s="349"/>
      <c r="E364" s="351"/>
      <c r="F364" s="254" t="s">
        <v>22</v>
      </c>
      <c r="G364" s="254">
        <v>12</v>
      </c>
      <c r="H364" s="255">
        <v>90.801000000000002</v>
      </c>
      <c r="I364" s="255">
        <v>1.8160000000000001</v>
      </c>
      <c r="J364" s="255">
        <v>0</v>
      </c>
      <c r="K364" s="255">
        <v>0</v>
      </c>
      <c r="L364" s="255">
        <v>9.5340000000000007</v>
      </c>
      <c r="M364" s="256">
        <v>0</v>
      </c>
      <c r="N364" s="266">
        <v>8.6419999999999995</v>
      </c>
      <c r="O364" s="255">
        <v>11.35</v>
      </c>
      <c r="P364" s="255">
        <v>8.6419999999999995</v>
      </c>
      <c r="Q364" s="255">
        <f t="shared" si="65"/>
        <v>2.7080000000000002</v>
      </c>
      <c r="R364" s="258"/>
      <c r="S364" s="254"/>
      <c r="T364" s="243"/>
      <c r="U364" s="243"/>
      <c r="V364" s="243"/>
      <c r="W364" s="245"/>
      <c r="X364" s="245"/>
      <c r="Y364" s="245"/>
      <c r="Z364" s="245"/>
      <c r="AA364" s="245"/>
      <c r="AB364" s="245"/>
      <c r="AC364" s="245"/>
      <c r="AD364" s="245"/>
    </row>
    <row r="365" spans="1:30" s="244" customFormat="1" ht="86.45" customHeight="1" x14ac:dyDescent="0.75">
      <c r="A365" s="332"/>
      <c r="B365" s="326"/>
      <c r="C365" s="332"/>
      <c r="D365" s="348"/>
      <c r="E365" s="352"/>
      <c r="F365" s="254" t="s">
        <v>24</v>
      </c>
      <c r="G365" s="254">
        <v>12</v>
      </c>
      <c r="H365" s="255">
        <v>56.43</v>
      </c>
      <c r="I365" s="255">
        <v>1.552</v>
      </c>
      <c r="J365" s="255">
        <v>0</v>
      </c>
      <c r="K365" s="255">
        <v>3.5230000000000001</v>
      </c>
      <c r="L365" s="255">
        <v>6.2069999999999999</v>
      </c>
      <c r="M365" s="256">
        <v>0</v>
      </c>
      <c r="N365" s="266">
        <v>7.1</v>
      </c>
      <c r="O365" s="255">
        <v>7.7590000000000003</v>
      </c>
      <c r="P365" s="255">
        <v>10.622999999999999</v>
      </c>
      <c r="Q365" s="255">
        <f t="shared" si="65"/>
        <v>-2.863999999999999</v>
      </c>
      <c r="R365" s="258"/>
      <c r="S365" s="254"/>
      <c r="T365" s="243"/>
      <c r="U365" s="243"/>
      <c r="V365" s="243"/>
      <c r="W365" s="245"/>
      <c r="X365" s="245"/>
      <c r="Y365" s="245"/>
      <c r="Z365" s="245"/>
      <c r="AA365" s="245"/>
      <c r="AB365" s="245"/>
      <c r="AC365" s="245"/>
      <c r="AD365" s="245"/>
    </row>
    <row r="366" spans="1:30" s="244" customFormat="1" ht="86.45" customHeight="1" x14ac:dyDescent="0.75">
      <c r="A366" s="330">
        <v>130</v>
      </c>
      <c r="B366" s="324" t="s">
        <v>809</v>
      </c>
      <c r="C366" s="330" t="s">
        <v>511</v>
      </c>
      <c r="D366" s="347">
        <v>176089045810</v>
      </c>
      <c r="E366" s="221" t="s">
        <v>1298</v>
      </c>
      <c r="F366" s="216" t="s">
        <v>20</v>
      </c>
      <c r="G366" s="216">
        <v>2</v>
      </c>
      <c r="H366" s="233">
        <v>0.35</v>
      </c>
      <c r="I366" s="233">
        <f>+H366*0.005</f>
        <v>1.7499999999999998E-3</v>
      </c>
      <c r="J366" s="233">
        <v>0</v>
      </c>
      <c r="K366" s="233">
        <f>((2*1000)/1000000)</f>
        <v>2E-3</v>
      </c>
      <c r="L366" s="233">
        <f>+H366*(8.5/100)</f>
        <v>2.9749999999999999E-2</v>
      </c>
      <c r="M366" s="237">
        <v>0</v>
      </c>
      <c r="N366" s="233">
        <f>((27*1000)/1000000)</f>
        <v>2.7E-2</v>
      </c>
      <c r="O366" s="233">
        <f t="shared" ref="O366:O454" si="68">+I366+L366</f>
        <v>3.15E-2</v>
      </c>
      <c r="P366" s="233">
        <f t="shared" si="64"/>
        <v>2.8999999999999998E-2</v>
      </c>
      <c r="Q366" s="233">
        <f t="shared" si="65"/>
        <v>2.5000000000000022E-3</v>
      </c>
      <c r="R366" s="217" t="s">
        <v>19</v>
      </c>
      <c r="S366" s="216" t="s">
        <v>1041</v>
      </c>
      <c r="T366" s="243" t="s">
        <v>282</v>
      </c>
      <c r="U366" s="243" t="s">
        <v>283</v>
      </c>
      <c r="V366" s="243"/>
    </row>
    <row r="367" spans="1:30" s="244" customFormat="1" ht="86.45" customHeight="1" x14ac:dyDescent="0.75">
      <c r="A367" s="332"/>
      <c r="B367" s="326"/>
      <c r="C367" s="332"/>
      <c r="D367" s="348"/>
      <c r="E367" s="260" t="s">
        <v>1323</v>
      </c>
      <c r="F367" s="254" t="s">
        <v>20</v>
      </c>
      <c r="G367" s="254">
        <v>2</v>
      </c>
      <c r="H367" s="255">
        <v>0.31539</v>
      </c>
      <c r="I367" s="255">
        <v>2E-3</v>
      </c>
      <c r="J367" s="255">
        <v>0</v>
      </c>
      <c r="K367" s="255">
        <v>2E-3</v>
      </c>
      <c r="L367" s="255">
        <v>2.7E-2</v>
      </c>
      <c r="M367" s="256">
        <v>0</v>
      </c>
      <c r="N367" s="255">
        <v>2.7E-2</v>
      </c>
      <c r="O367" s="255">
        <v>2.8000000000000001E-2</v>
      </c>
      <c r="P367" s="255">
        <v>2.9000000000000001E-2</v>
      </c>
      <c r="Q367" s="255">
        <v>-5.9999999999999995E-4</v>
      </c>
      <c r="R367" s="258"/>
      <c r="S367" s="254"/>
      <c r="T367" s="243"/>
      <c r="U367" s="243"/>
      <c r="V367" s="243"/>
    </row>
    <row r="368" spans="1:30" ht="86.45" customHeight="1" x14ac:dyDescent="0.75">
      <c r="A368" s="330">
        <v>131</v>
      </c>
      <c r="B368" s="324" t="s">
        <v>810</v>
      </c>
      <c r="C368" s="330" t="s">
        <v>511</v>
      </c>
      <c r="D368" s="347">
        <v>279019006110</v>
      </c>
      <c r="E368" s="221" t="s">
        <v>1298</v>
      </c>
      <c r="F368" s="216" t="s">
        <v>20</v>
      </c>
      <c r="G368" s="216">
        <v>7.9</v>
      </c>
      <c r="H368" s="233">
        <v>7.0002190000000004</v>
      </c>
      <c r="I368" s="233">
        <f>+H368*0.005</f>
        <v>3.5001095000000003E-2</v>
      </c>
      <c r="J368" s="233">
        <v>0</v>
      </c>
      <c r="K368" s="233">
        <f>(28)*1000/1000000</f>
        <v>2.8000000000000001E-2</v>
      </c>
      <c r="L368" s="233">
        <f>+H368*(8.5/100)</f>
        <v>0.59501861500000008</v>
      </c>
      <c r="M368" s="237">
        <v>3.3250839999999999</v>
      </c>
      <c r="N368" s="233">
        <v>0</v>
      </c>
      <c r="O368" s="233">
        <f t="shared" si="68"/>
        <v>0.63001971000000012</v>
      </c>
      <c r="P368" s="233">
        <f t="shared" si="64"/>
        <v>3.353084</v>
      </c>
      <c r="Q368" s="233">
        <f t="shared" si="65"/>
        <v>-2.7230642899999999</v>
      </c>
      <c r="R368" s="217" t="s">
        <v>19</v>
      </c>
      <c r="S368" s="216" t="s">
        <v>1042</v>
      </c>
      <c r="T368" s="222" t="s">
        <v>282</v>
      </c>
      <c r="U368" s="222" t="s">
        <v>310</v>
      </c>
      <c r="V368" s="222"/>
    </row>
    <row r="369" spans="1:30" ht="86.45" customHeight="1" x14ac:dyDescent="0.75">
      <c r="A369" s="332"/>
      <c r="B369" s="326"/>
      <c r="C369" s="332"/>
      <c r="D369" s="348"/>
      <c r="E369" s="260" t="s">
        <v>1365</v>
      </c>
      <c r="F369" s="254" t="s">
        <v>20</v>
      </c>
      <c r="G369" s="254">
        <v>7.9</v>
      </c>
      <c r="H369" s="357" t="s">
        <v>1404</v>
      </c>
      <c r="I369" s="358"/>
      <c r="J369" s="358"/>
      <c r="K369" s="358"/>
      <c r="L369" s="358"/>
      <c r="M369" s="358"/>
      <c r="N369" s="358"/>
      <c r="O369" s="358"/>
      <c r="P369" s="358"/>
      <c r="Q369" s="358"/>
      <c r="R369" s="358"/>
      <c r="S369" s="359"/>
      <c r="T369" s="222"/>
      <c r="U369" s="222"/>
      <c r="V369" s="222"/>
    </row>
    <row r="370" spans="1:30" ht="86.45" customHeight="1" x14ac:dyDescent="0.75">
      <c r="A370" s="330">
        <v>132</v>
      </c>
      <c r="B370" s="324" t="s">
        <v>1406</v>
      </c>
      <c r="C370" s="330" t="s">
        <v>511</v>
      </c>
      <c r="D370" s="347">
        <v>510019006730</v>
      </c>
      <c r="E370" s="347" t="s">
        <v>1298</v>
      </c>
      <c r="F370" s="216" t="s">
        <v>18</v>
      </c>
      <c r="G370" s="216">
        <v>24</v>
      </c>
      <c r="H370" s="233">
        <v>152.64802700000001</v>
      </c>
      <c r="I370" s="233">
        <f>+H370*0.005</f>
        <v>0.7632401350000001</v>
      </c>
      <c r="J370" s="233">
        <v>0</v>
      </c>
      <c r="K370" s="233">
        <v>0</v>
      </c>
      <c r="L370" s="233">
        <f>+H370*(8.5/100)</f>
        <v>12.975082295000002</v>
      </c>
      <c r="M370" s="237">
        <v>0</v>
      </c>
      <c r="N370" s="233">
        <v>0</v>
      </c>
      <c r="O370" s="233">
        <f t="shared" si="68"/>
        <v>13.738322430000002</v>
      </c>
      <c r="P370" s="233">
        <f t="shared" si="64"/>
        <v>0</v>
      </c>
      <c r="Q370" s="233">
        <f t="shared" si="65"/>
        <v>13.738322430000002</v>
      </c>
      <c r="R370" s="217" t="s">
        <v>19</v>
      </c>
      <c r="S370" s="216" t="s">
        <v>347</v>
      </c>
      <c r="T370" s="222" t="s">
        <v>344</v>
      </c>
      <c r="U370" s="222"/>
      <c r="V370" s="222"/>
    </row>
    <row r="371" spans="1:30" ht="86.45" customHeight="1" x14ac:dyDescent="0.75">
      <c r="A371" s="331"/>
      <c r="B371" s="325"/>
      <c r="C371" s="331"/>
      <c r="D371" s="349"/>
      <c r="E371" s="349"/>
      <c r="F371" s="216" t="s">
        <v>20</v>
      </c>
      <c r="G371" s="216">
        <f>40000/1000</f>
        <v>40</v>
      </c>
      <c r="H371" s="233">
        <v>214.73048499999999</v>
      </c>
      <c r="I371" s="233">
        <f>+H371*0.005</f>
        <v>1.0736524249999999</v>
      </c>
      <c r="J371" s="233">
        <v>0</v>
      </c>
      <c r="K371" s="233">
        <v>0</v>
      </c>
      <c r="L371" s="233">
        <f>+H371*(8.5/100)</f>
        <v>18.252091225000001</v>
      </c>
      <c r="M371" s="237">
        <v>0</v>
      </c>
      <c r="N371" s="233">
        <v>0</v>
      </c>
      <c r="O371" s="233">
        <f t="shared" si="68"/>
        <v>19.32574365</v>
      </c>
      <c r="P371" s="233">
        <f t="shared" si="64"/>
        <v>0</v>
      </c>
      <c r="Q371" s="233">
        <f t="shared" si="65"/>
        <v>19.32574365</v>
      </c>
      <c r="R371" s="217" t="s">
        <v>19</v>
      </c>
      <c r="S371" s="216" t="s">
        <v>449</v>
      </c>
      <c r="T371" s="222" t="s">
        <v>344</v>
      </c>
      <c r="U371" s="222"/>
      <c r="V371" s="222"/>
    </row>
    <row r="372" spans="1:30" ht="86.45" customHeight="1" x14ac:dyDescent="0.75">
      <c r="A372" s="331"/>
      <c r="B372" s="325"/>
      <c r="C372" s="331"/>
      <c r="D372" s="349"/>
      <c r="E372" s="348"/>
      <c r="F372" s="216" t="s">
        <v>21</v>
      </c>
      <c r="G372" s="216">
        <v>40</v>
      </c>
      <c r="H372" s="233">
        <v>118.903002</v>
      </c>
      <c r="I372" s="233">
        <f>+H372*0.01</f>
        <v>1.1890300200000001</v>
      </c>
      <c r="J372" s="233">
        <v>0</v>
      </c>
      <c r="K372" s="233">
        <v>0</v>
      </c>
      <c r="L372" s="233">
        <f>+H372*(10/100)</f>
        <v>11.8903002</v>
      </c>
      <c r="M372" s="237">
        <v>0</v>
      </c>
      <c r="N372" s="233">
        <v>0</v>
      </c>
      <c r="O372" s="233">
        <f>+I372+L372</f>
        <v>13.079330220000001</v>
      </c>
      <c r="P372" s="233">
        <f>+((J372+K372)+(M372+N372))</f>
        <v>0</v>
      </c>
      <c r="Q372" s="233">
        <f>+O372-P372</f>
        <v>13.079330220000001</v>
      </c>
      <c r="R372" s="217" t="s">
        <v>19</v>
      </c>
      <c r="S372" s="216" t="s">
        <v>490</v>
      </c>
      <c r="T372" s="222" t="s">
        <v>344</v>
      </c>
      <c r="U372" s="222"/>
      <c r="V372" s="222"/>
      <c r="W372" s="14"/>
      <c r="X372" s="14"/>
      <c r="Y372" s="14"/>
      <c r="Z372" s="14"/>
      <c r="AA372" s="14"/>
      <c r="AB372" s="14"/>
      <c r="AC372" s="14"/>
      <c r="AD372" s="14"/>
    </row>
    <row r="373" spans="1:30" ht="86.45" customHeight="1" x14ac:dyDescent="0.75">
      <c r="A373" s="332"/>
      <c r="B373" s="326"/>
      <c r="C373" s="332"/>
      <c r="D373" s="348"/>
      <c r="E373" s="260" t="s">
        <v>1405</v>
      </c>
      <c r="F373" s="360" t="s">
        <v>1366</v>
      </c>
      <c r="G373" s="361"/>
      <c r="H373" s="361"/>
      <c r="I373" s="361"/>
      <c r="J373" s="361"/>
      <c r="K373" s="361"/>
      <c r="L373" s="361"/>
      <c r="M373" s="361"/>
      <c r="N373" s="361"/>
      <c r="O373" s="361"/>
      <c r="P373" s="361"/>
      <c r="Q373" s="361"/>
      <c r="R373" s="361"/>
      <c r="S373" s="362"/>
      <c r="T373" s="222"/>
      <c r="U373" s="222"/>
      <c r="V373" s="222"/>
      <c r="W373" s="14"/>
      <c r="X373" s="14"/>
      <c r="Y373" s="14"/>
      <c r="Z373" s="14"/>
      <c r="AA373" s="14"/>
      <c r="AB373" s="14"/>
      <c r="AC373" s="14"/>
      <c r="AD373" s="14"/>
    </row>
    <row r="374" spans="1:30" ht="86.45" customHeight="1" x14ac:dyDescent="0.75">
      <c r="A374" s="333">
        <v>133</v>
      </c>
      <c r="B374" s="324" t="s">
        <v>898</v>
      </c>
      <c r="C374" s="330" t="s">
        <v>511</v>
      </c>
      <c r="D374" s="347">
        <v>37279017847</v>
      </c>
      <c r="E374" s="347" t="s">
        <v>1298</v>
      </c>
      <c r="F374" s="216" t="s">
        <v>20</v>
      </c>
      <c r="G374" s="216">
        <v>16.329999999999998</v>
      </c>
      <c r="H374" s="233">
        <v>8.0496859999999995</v>
      </c>
      <c r="I374" s="233">
        <f>+H374*0.005</f>
        <v>4.0248429999999995E-2</v>
      </c>
      <c r="J374" s="233">
        <v>8.8093000000000004</v>
      </c>
      <c r="K374" s="233">
        <v>0</v>
      </c>
      <c r="L374" s="233">
        <f>+H374*(8.5/100)</f>
        <v>0.68422331000000003</v>
      </c>
      <c r="M374" s="237">
        <v>7.6330999999999998</v>
      </c>
      <c r="N374" s="233">
        <v>0</v>
      </c>
      <c r="O374" s="233">
        <f t="shared" si="68"/>
        <v>0.72447174000000003</v>
      </c>
      <c r="P374" s="233">
        <f t="shared" si="64"/>
        <v>16.442399999999999</v>
      </c>
      <c r="Q374" s="233">
        <f t="shared" si="65"/>
        <v>-15.717928259999999</v>
      </c>
      <c r="R374" s="217" t="s">
        <v>284</v>
      </c>
      <c r="S374" s="216" t="s">
        <v>1043</v>
      </c>
      <c r="T374" s="222" t="s">
        <v>282</v>
      </c>
      <c r="U374" s="222" t="s">
        <v>310</v>
      </c>
      <c r="V374" s="222"/>
    </row>
    <row r="375" spans="1:30" s="208" customFormat="1" ht="86.45" customHeight="1" x14ac:dyDescent="0.75">
      <c r="A375" s="333"/>
      <c r="B375" s="325"/>
      <c r="C375" s="331"/>
      <c r="D375" s="349"/>
      <c r="E375" s="348"/>
      <c r="F375" s="216" t="s">
        <v>21</v>
      </c>
      <c r="G375" s="216">
        <v>16.329999999999998</v>
      </c>
      <c r="H375" s="233">
        <v>62.595599999999997</v>
      </c>
      <c r="I375" s="233">
        <f>+H375*0.01</f>
        <v>0.62595599999999996</v>
      </c>
      <c r="J375" s="233">
        <f>(0.8265+0.8494+0.7748+0.8206+0.7328+0.7463+0.8208+0.7606+0.7482+0.6483+0.7743+0.8532)</f>
        <v>9.3557999999999986</v>
      </c>
      <c r="K375" s="233">
        <v>0</v>
      </c>
      <c r="L375" s="233">
        <f>+H375*(10/100)</f>
        <v>6.2595600000000005</v>
      </c>
      <c r="M375" s="237">
        <f>(0.6541+1.0396+1.3142+1.6148+1.8745+0.9168+0.2651+0.3272+0.5298+0.1202+0.1318+0.146)</f>
        <v>8.9341000000000026</v>
      </c>
      <c r="N375" s="237">
        <v>0</v>
      </c>
      <c r="O375" s="233">
        <f>+I375+L375</f>
        <v>6.8855160000000009</v>
      </c>
      <c r="P375" s="233">
        <f>+((J375+K375)+(M375+N375))</f>
        <v>18.289900000000003</v>
      </c>
      <c r="Q375" s="233">
        <f>+O375-P375</f>
        <v>-11.404384000000002</v>
      </c>
      <c r="R375" s="217" t="s">
        <v>100</v>
      </c>
      <c r="S375" s="216" t="s">
        <v>1435</v>
      </c>
      <c r="T375" s="228" t="s">
        <v>282</v>
      </c>
      <c r="U375" s="228" t="s">
        <v>310</v>
      </c>
      <c r="V375" s="228"/>
    </row>
    <row r="376" spans="1:30" s="208" customFormat="1" ht="86.45" customHeight="1" x14ac:dyDescent="0.75">
      <c r="A376" s="333"/>
      <c r="B376" s="325"/>
      <c r="C376" s="331"/>
      <c r="D376" s="349"/>
      <c r="E376" s="350" t="s">
        <v>1436</v>
      </c>
      <c r="F376" s="254" t="s">
        <v>20</v>
      </c>
      <c r="G376" s="254">
        <v>24</v>
      </c>
      <c r="H376" s="255">
        <v>5.9569000000000001</v>
      </c>
      <c r="I376" s="255">
        <v>2.9700000000000001E-2</v>
      </c>
      <c r="J376" s="255">
        <v>8.7815999999999992</v>
      </c>
      <c r="K376" s="255">
        <v>0</v>
      </c>
      <c r="L376" s="255">
        <v>0.50629999999999997</v>
      </c>
      <c r="M376" s="256">
        <v>8.0685000000000002</v>
      </c>
      <c r="N376" s="256">
        <v>0</v>
      </c>
      <c r="O376" s="255">
        <f>I376+L376</f>
        <v>0.53599999999999992</v>
      </c>
      <c r="P376" s="255">
        <f>J376+K376+M376+N376</f>
        <v>16.850099999999998</v>
      </c>
      <c r="Q376" s="255">
        <v>-15.8786</v>
      </c>
      <c r="R376" s="258"/>
      <c r="S376" s="254"/>
      <c r="T376" s="228"/>
      <c r="U376" s="228"/>
      <c r="V376" s="228"/>
    </row>
    <row r="377" spans="1:30" s="208" customFormat="1" ht="86.45" customHeight="1" x14ac:dyDescent="0.75">
      <c r="A377" s="333"/>
      <c r="B377" s="325"/>
      <c r="C377" s="331"/>
      <c r="D377" s="349"/>
      <c r="E377" s="351"/>
      <c r="F377" s="254" t="s">
        <v>21</v>
      </c>
      <c r="G377" s="280">
        <v>48.51</v>
      </c>
      <c r="H377" s="255">
        <v>22.130800000000001</v>
      </c>
      <c r="I377" s="255">
        <v>0.2213</v>
      </c>
      <c r="J377" s="255">
        <v>9.3878000000000004</v>
      </c>
      <c r="K377" s="255">
        <v>0</v>
      </c>
      <c r="L377" s="255">
        <v>2.2130999999999998</v>
      </c>
      <c r="M377" s="255">
        <v>7.6330999999999998</v>
      </c>
      <c r="N377" s="256">
        <v>0</v>
      </c>
      <c r="O377" s="255">
        <f t="shared" ref="O377:O380" si="69">I377+L377</f>
        <v>2.4343999999999997</v>
      </c>
      <c r="P377" s="255">
        <v>17.218699999999998</v>
      </c>
      <c r="Q377" s="255">
        <v>-15.902699999999999</v>
      </c>
      <c r="R377" s="276"/>
      <c r="S377" s="276"/>
      <c r="T377" s="228" t="s">
        <v>282</v>
      </c>
      <c r="U377" s="228" t="s">
        <v>310</v>
      </c>
      <c r="V377" s="228"/>
    </row>
    <row r="378" spans="1:30" s="208" customFormat="1" ht="86.45" customHeight="1" x14ac:dyDescent="0.75">
      <c r="A378" s="216"/>
      <c r="B378" s="325"/>
      <c r="C378" s="331"/>
      <c r="D378" s="349"/>
      <c r="E378" s="351"/>
      <c r="F378" s="254" t="s">
        <v>22</v>
      </c>
      <c r="G378" s="280">
        <v>26</v>
      </c>
      <c r="H378" s="255">
        <v>19.005199999999999</v>
      </c>
      <c r="I378" s="255">
        <v>0.38009999999999999</v>
      </c>
      <c r="J378" s="255">
        <v>7.3345000000000002</v>
      </c>
      <c r="K378" s="255">
        <v>0</v>
      </c>
      <c r="L378" s="255">
        <v>1.9955000000000001</v>
      </c>
      <c r="M378" s="255">
        <v>8.94937</v>
      </c>
      <c r="N378" s="256">
        <v>0</v>
      </c>
      <c r="O378" s="255">
        <f t="shared" si="69"/>
        <v>2.3755999999999999</v>
      </c>
      <c r="P378" s="255">
        <v>16.4147</v>
      </c>
      <c r="Q378" s="255">
        <v>-10.3941</v>
      </c>
      <c r="R378" s="278"/>
      <c r="S378" s="277"/>
      <c r="T378" s="228"/>
      <c r="U378" s="228"/>
      <c r="V378" s="228"/>
    </row>
    <row r="379" spans="1:30" s="208" customFormat="1" ht="86.45" customHeight="1" x14ac:dyDescent="0.75">
      <c r="A379" s="216"/>
      <c r="B379" s="325"/>
      <c r="C379" s="331"/>
      <c r="D379" s="349"/>
      <c r="E379" s="351"/>
      <c r="F379" s="254" t="s">
        <v>24</v>
      </c>
      <c r="G379" s="280">
        <v>37.5</v>
      </c>
      <c r="H379" s="255">
        <v>22.7012</v>
      </c>
      <c r="I379" s="255">
        <v>0.62419999999999998</v>
      </c>
      <c r="J379" s="255">
        <v>46.740299999999998</v>
      </c>
      <c r="K379" s="255">
        <v>0</v>
      </c>
      <c r="L379" s="255">
        <v>2.4971000000000001</v>
      </c>
      <c r="M379" s="255">
        <v>5.4352</v>
      </c>
      <c r="N379" s="256">
        <v>0</v>
      </c>
      <c r="O379" s="255">
        <f t="shared" si="69"/>
        <v>3.1213000000000002</v>
      </c>
      <c r="P379" s="255">
        <v>6.4410999999999996</v>
      </c>
      <c r="Q379" s="255">
        <v>-52.3245</v>
      </c>
      <c r="R379" s="278"/>
      <c r="S379" s="277"/>
      <c r="T379" s="228"/>
      <c r="U379" s="228"/>
      <c r="V379" s="228"/>
    </row>
    <row r="380" spans="1:30" s="208" customFormat="1" ht="86.45" customHeight="1" x14ac:dyDescent="0.75">
      <c r="A380" s="216"/>
      <c r="B380" s="326"/>
      <c r="C380" s="332"/>
      <c r="D380" s="348"/>
      <c r="E380" s="352"/>
      <c r="F380" s="254" t="s">
        <v>27</v>
      </c>
      <c r="G380" s="280">
        <v>48</v>
      </c>
      <c r="H380" s="255">
        <v>24.179300000000001</v>
      </c>
      <c r="I380" s="255">
        <v>0.84630000000000005</v>
      </c>
      <c r="J380" s="255">
        <v>47.412300000000002</v>
      </c>
      <c r="K380" s="255">
        <v>0</v>
      </c>
      <c r="L380" s="255">
        <v>2.7806000000000002</v>
      </c>
      <c r="M380" s="255">
        <v>8.7056000000000004</v>
      </c>
      <c r="N380" s="256">
        <v>0</v>
      </c>
      <c r="O380" s="255">
        <f t="shared" si="69"/>
        <v>3.6269</v>
      </c>
      <c r="P380" s="255">
        <v>12.7697</v>
      </c>
      <c r="Q380" s="255">
        <v>-51.760899999999999</v>
      </c>
      <c r="R380" s="278"/>
      <c r="S380" s="277"/>
      <c r="T380" s="228"/>
      <c r="U380" s="228"/>
      <c r="V380" s="228"/>
    </row>
    <row r="381" spans="1:30" ht="86.45" customHeight="1" x14ac:dyDescent="0.75">
      <c r="A381" s="216">
        <v>134</v>
      </c>
      <c r="B381" s="220" t="s">
        <v>811</v>
      </c>
      <c r="C381" s="216" t="s">
        <v>511</v>
      </c>
      <c r="D381" s="221">
        <v>251599005210</v>
      </c>
      <c r="E381" s="221"/>
      <c r="F381" s="216" t="s">
        <v>20</v>
      </c>
      <c r="G381" s="216">
        <v>2</v>
      </c>
      <c r="H381" s="233">
        <v>6.5094079999999996</v>
      </c>
      <c r="I381" s="233">
        <f>+H381*0.005</f>
        <v>3.2547039999999999E-2</v>
      </c>
      <c r="J381" s="233">
        <v>0</v>
      </c>
      <c r="K381" s="233">
        <f>(24+6)*1000/1000000</f>
        <v>0.03</v>
      </c>
      <c r="L381" s="233">
        <f>+H381*(8.5/100)</f>
        <v>0.55329967999999996</v>
      </c>
      <c r="M381" s="237">
        <v>7.9753999999999996</v>
      </c>
      <c r="N381" s="233">
        <f>(94+403)*1000/1000000</f>
        <v>0.497</v>
      </c>
      <c r="O381" s="233">
        <f t="shared" si="68"/>
        <v>0.58584671999999993</v>
      </c>
      <c r="P381" s="233">
        <v>55.445900000000002</v>
      </c>
      <c r="Q381" s="233">
        <f t="shared" si="65"/>
        <v>-54.860053280000002</v>
      </c>
      <c r="R381" s="217" t="s">
        <v>284</v>
      </c>
      <c r="S381" s="216" t="s">
        <v>1005</v>
      </c>
      <c r="T381" s="222" t="s">
        <v>282</v>
      </c>
      <c r="U381" s="222" t="s">
        <v>283</v>
      </c>
      <c r="V381" s="222"/>
    </row>
    <row r="382" spans="1:30" ht="86.45" customHeight="1" x14ac:dyDescent="0.75">
      <c r="A382" s="330">
        <v>135</v>
      </c>
      <c r="B382" s="324" t="s">
        <v>1408</v>
      </c>
      <c r="C382" s="330" t="s">
        <v>511</v>
      </c>
      <c r="D382" s="347">
        <v>49069000702</v>
      </c>
      <c r="E382" s="347" t="s">
        <v>1298</v>
      </c>
      <c r="F382" s="216" t="s">
        <v>18</v>
      </c>
      <c r="G382" s="216">
        <v>6</v>
      </c>
      <c r="H382" s="233">
        <v>24.038125999999998</v>
      </c>
      <c r="I382" s="233">
        <f>+H382*0.005</f>
        <v>0.12019062999999999</v>
      </c>
      <c r="J382" s="233">
        <v>0</v>
      </c>
      <c r="K382" s="233">
        <f>(0.099+0.015)</f>
        <v>0.114</v>
      </c>
      <c r="L382" s="233">
        <f>+H382*(8.5/100)</f>
        <v>2.0432407100000001</v>
      </c>
      <c r="M382" s="237">
        <v>0</v>
      </c>
      <c r="N382" s="233">
        <f>(1.676+0.247)</f>
        <v>1.923</v>
      </c>
      <c r="O382" s="233">
        <f t="shared" si="68"/>
        <v>2.1634313400000003</v>
      </c>
      <c r="P382" s="233">
        <v>55.387799999999999</v>
      </c>
      <c r="Q382" s="233">
        <f t="shared" si="65"/>
        <v>-53.224368659999996</v>
      </c>
      <c r="R382" s="217" t="s">
        <v>307</v>
      </c>
      <c r="S382" s="216" t="s">
        <v>1044</v>
      </c>
      <c r="T382" s="222" t="s">
        <v>279</v>
      </c>
      <c r="U382" s="222" t="s">
        <v>283</v>
      </c>
      <c r="V382" s="222"/>
    </row>
    <row r="383" spans="1:30" ht="86.45" customHeight="1" x14ac:dyDescent="0.75">
      <c r="A383" s="331"/>
      <c r="B383" s="325"/>
      <c r="C383" s="331"/>
      <c r="D383" s="349"/>
      <c r="E383" s="349"/>
      <c r="F383" s="216" t="s">
        <v>20</v>
      </c>
      <c r="G383" s="216">
        <v>6</v>
      </c>
      <c r="H383" s="233">
        <v>29.885545</v>
      </c>
      <c r="I383" s="233">
        <f>+H383*0.005</f>
        <v>0.14942772500000001</v>
      </c>
      <c r="J383" s="233">
        <v>0</v>
      </c>
      <c r="K383" s="233">
        <v>0.14199999999999999</v>
      </c>
      <c r="L383" s="233">
        <f>+H383*(8.5/100)</f>
        <v>2.5402713250000004</v>
      </c>
      <c r="M383" s="237">
        <v>0</v>
      </c>
      <c r="N383" s="233">
        <v>2.4049999999999998</v>
      </c>
      <c r="O383" s="233">
        <f t="shared" si="68"/>
        <v>2.6896990500000006</v>
      </c>
      <c r="P383" s="233">
        <f t="shared" si="64"/>
        <v>2.5469999999999997</v>
      </c>
      <c r="Q383" s="233">
        <f t="shared" si="65"/>
        <v>0.14269905000000094</v>
      </c>
      <c r="R383" s="217" t="s">
        <v>305</v>
      </c>
      <c r="S383" s="216" t="s">
        <v>1045</v>
      </c>
      <c r="T383" s="222" t="s">
        <v>282</v>
      </c>
      <c r="U383" s="222" t="s">
        <v>283</v>
      </c>
      <c r="V383" s="222"/>
    </row>
    <row r="384" spans="1:30" ht="86.45" customHeight="1" x14ac:dyDescent="0.75">
      <c r="A384" s="331"/>
      <c r="B384" s="325"/>
      <c r="C384" s="331"/>
      <c r="D384" s="349"/>
      <c r="E384" s="349"/>
      <c r="F384" s="216" t="s">
        <v>21</v>
      </c>
      <c r="G384" s="216">
        <v>6</v>
      </c>
      <c r="H384" s="233">
        <v>25.653870999999999</v>
      </c>
      <c r="I384" s="233">
        <f>+H384*0.01</f>
        <v>0.25653871</v>
      </c>
      <c r="J384" s="233">
        <v>0.32740000000000002</v>
      </c>
      <c r="K384" s="233">
        <f>(0*1000)/1000000</f>
        <v>0</v>
      </c>
      <c r="L384" s="233">
        <f>+H384*(10/100)</f>
        <v>2.5653871000000001</v>
      </c>
      <c r="M384" s="237">
        <v>0</v>
      </c>
      <c r="N384" s="233">
        <f>(2353*1000)/1000000</f>
        <v>2.3530000000000002</v>
      </c>
      <c r="O384" s="233">
        <f>+I384+L384</f>
        <v>2.8219258100000002</v>
      </c>
      <c r="P384" s="233">
        <f>+((J384+K384)+(M384+N384))</f>
        <v>2.6804000000000001</v>
      </c>
      <c r="Q384" s="233">
        <f>+O384-P384</f>
        <v>0.14152581000000009</v>
      </c>
      <c r="R384" s="217" t="s">
        <v>284</v>
      </c>
      <c r="S384" s="216" t="s">
        <v>1046</v>
      </c>
      <c r="T384" s="222" t="s">
        <v>282</v>
      </c>
      <c r="U384" s="222" t="s">
        <v>283</v>
      </c>
      <c r="V384" s="222"/>
    </row>
    <row r="385" spans="1:30" ht="86.45" customHeight="1" x14ac:dyDescent="0.75">
      <c r="A385" s="331"/>
      <c r="B385" s="325"/>
      <c r="C385" s="331"/>
      <c r="D385" s="349"/>
      <c r="E385" s="349"/>
      <c r="F385" s="216" t="s">
        <v>22</v>
      </c>
      <c r="G385" s="223">
        <v>6</v>
      </c>
      <c r="H385" s="233">
        <f>20075274/1000000</f>
        <v>20.075274</v>
      </c>
      <c r="I385" s="233">
        <f>+H385*0.02</f>
        <v>0.40150548000000003</v>
      </c>
      <c r="J385" s="234">
        <v>0</v>
      </c>
      <c r="K385" s="233">
        <f>(0*1000)/1000000</f>
        <v>0</v>
      </c>
      <c r="L385" s="233">
        <f>+H385*(10.5/100)</f>
        <v>2.1079037700000001</v>
      </c>
      <c r="M385" s="237">
        <v>1.5345</v>
      </c>
      <c r="N385" s="233">
        <f>(220*1000)/1000000</f>
        <v>0.22</v>
      </c>
      <c r="O385" s="233">
        <f>+I385+L385</f>
        <v>2.50940925</v>
      </c>
      <c r="P385" s="233">
        <f>+((J385+K385)+(M385+N385))</f>
        <v>1.7544999999999999</v>
      </c>
      <c r="Q385" s="233">
        <f>+O385-P385</f>
        <v>0.75490925000000009</v>
      </c>
      <c r="R385" s="216" t="s">
        <v>19</v>
      </c>
      <c r="S385" s="216" t="s">
        <v>102</v>
      </c>
      <c r="T385" s="222" t="s">
        <v>282</v>
      </c>
      <c r="U385" s="222" t="s">
        <v>283</v>
      </c>
      <c r="V385" s="222"/>
      <c r="W385" s="14"/>
      <c r="X385" s="14"/>
      <c r="Y385" s="14"/>
      <c r="Z385" s="14"/>
      <c r="AA385" s="14"/>
      <c r="AB385" s="14"/>
      <c r="AC385" s="14"/>
      <c r="AD385" s="14"/>
    </row>
    <row r="386" spans="1:30" ht="86.45" customHeight="1" x14ac:dyDescent="0.75">
      <c r="A386" s="331"/>
      <c r="B386" s="325"/>
      <c r="C386" s="331"/>
      <c r="D386" s="349"/>
      <c r="E386" s="348"/>
      <c r="F386" s="216" t="s">
        <v>24</v>
      </c>
      <c r="G386" s="223">
        <v>6</v>
      </c>
      <c r="H386" s="234">
        <v>16.541625</v>
      </c>
      <c r="I386" s="233">
        <f>+H386*(2.75/100)</f>
        <v>0.45489468750000001</v>
      </c>
      <c r="J386" s="234">
        <v>0</v>
      </c>
      <c r="K386" s="233">
        <f>(63*1000)/1000000</f>
        <v>6.3E-2</v>
      </c>
      <c r="L386" s="233">
        <f>+H386*(11/100)</f>
        <v>1.81957875</v>
      </c>
      <c r="M386" s="238">
        <v>1.9776</v>
      </c>
      <c r="N386" s="233">
        <v>0</v>
      </c>
      <c r="O386" s="233">
        <f t="shared" si="68"/>
        <v>2.2744734375000002</v>
      </c>
      <c r="P386" s="233">
        <f t="shared" si="64"/>
        <v>2.0406</v>
      </c>
      <c r="Q386" s="233">
        <f t="shared" si="65"/>
        <v>0.23387343750000023</v>
      </c>
      <c r="R386" s="217" t="s">
        <v>494</v>
      </c>
      <c r="S386" s="216" t="s">
        <v>495</v>
      </c>
      <c r="T386" s="222" t="s">
        <v>282</v>
      </c>
      <c r="U386" s="222" t="s">
        <v>283</v>
      </c>
      <c r="V386" s="222"/>
      <c r="W386" s="14"/>
      <c r="X386" s="14"/>
      <c r="Y386" s="14"/>
      <c r="Z386" s="14"/>
      <c r="AA386" s="14"/>
      <c r="AB386" s="14"/>
      <c r="AC386" s="14"/>
      <c r="AD386" s="14"/>
    </row>
    <row r="387" spans="1:30" ht="86.45" customHeight="1" x14ac:dyDescent="0.75">
      <c r="A387" s="331"/>
      <c r="B387" s="325"/>
      <c r="C387" s="331"/>
      <c r="D387" s="349"/>
      <c r="E387" s="350" t="s">
        <v>1407</v>
      </c>
      <c r="F387" s="254" t="s">
        <v>18</v>
      </c>
      <c r="G387" s="265">
        <v>6</v>
      </c>
      <c r="H387" s="266">
        <v>22.626200000000001</v>
      </c>
      <c r="I387" s="255">
        <v>0.11310000000000001</v>
      </c>
      <c r="J387" s="266">
        <v>0</v>
      </c>
      <c r="K387" s="255">
        <v>9.9000000000000005E-2</v>
      </c>
      <c r="L387" s="255">
        <v>1.9232</v>
      </c>
      <c r="M387" s="267">
        <v>0</v>
      </c>
      <c r="N387" s="255">
        <v>1.6759999999999999</v>
      </c>
      <c r="O387" s="255">
        <v>2.0364</v>
      </c>
      <c r="P387" s="255">
        <v>1.7749999999999999</v>
      </c>
      <c r="Q387" s="255">
        <v>0.26140000000000002</v>
      </c>
      <c r="R387" s="258"/>
      <c r="S387" s="254"/>
      <c r="T387" s="222"/>
      <c r="U387" s="222"/>
      <c r="V387" s="222"/>
      <c r="W387" s="14"/>
      <c r="X387" s="14"/>
      <c r="Y387" s="14"/>
      <c r="Z387" s="14"/>
      <c r="AA387" s="14"/>
      <c r="AB387" s="14"/>
      <c r="AC387" s="14"/>
      <c r="AD387" s="14"/>
    </row>
    <row r="388" spans="1:30" ht="86.45" customHeight="1" x14ac:dyDescent="0.75">
      <c r="A388" s="331"/>
      <c r="B388" s="325"/>
      <c r="C388" s="331"/>
      <c r="D388" s="349"/>
      <c r="E388" s="351"/>
      <c r="F388" s="254" t="s">
        <v>20</v>
      </c>
      <c r="G388" s="265">
        <v>6</v>
      </c>
      <c r="H388" s="266">
        <v>28.445699999999999</v>
      </c>
      <c r="I388" s="255">
        <v>0.14219999999999999</v>
      </c>
      <c r="J388" s="266">
        <v>0</v>
      </c>
      <c r="K388" s="255">
        <v>0.14199999999999999</v>
      </c>
      <c r="L388" s="255">
        <v>2.4178999999999999</v>
      </c>
      <c r="M388" s="267">
        <v>0</v>
      </c>
      <c r="N388" s="255">
        <v>2.4049999999999998</v>
      </c>
      <c r="O388" s="255">
        <v>2.5600999999999998</v>
      </c>
      <c r="P388" s="255">
        <v>2.5470000000000002</v>
      </c>
      <c r="Q388" s="255">
        <v>1.3100000000000001E-2</v>
      </c>
      <c r="R388" s="258"/>
      <c r="S388" s="254"/>
      <c r="T388" s="222"/>
      <c r="U388" s="222"/>
      <c r="V388" s="222"/>
      <c r="W388" s="14"/>
      <c r="X388" s="14"/>
      <c r="Y388" s="14"/>
      <c r="Z388" s="14"/>
      <c r="AA388" s="14"/>
      <c r="AB388" s="14"/>
      <c r="AC388" s="14"/>
      <c r="AD388" s="14"/>
    </row>
    <row r="389" spans="1:30" ht="86.45" customHeight="1" x14ac:dyDescent="0.75">
      <c r="A389" s="331"/>
      <c r="B389" s="325"/>
      <c r="C389" s="331"/>
      <c r="D389" s="349"/>
      <c r="E389" s="351"/>
      <c r="F389" s="254" t="s">
        <v>21</v>
      </c>
      <c r="G389" s="265">
        <v>6</v>
      </c>
      <c r="H389" s="266">
        <v>24.358499999999999</v>
      </c>
      <c r="I389" s="255">
        <v>0.24360000000000001</v>
      </c>
      <c r="J389" s="266">
        <v>0.32740000000000002</v>
      </c>
      <c r="K389" s="255">
        <v>0</v>
      </c>
      <c r="L389" s="255">
        <v>2.4358</v>
      </c>
      <c r="M389" s="267">
        <v>0</v>
      </c>
      <c r="N389" s="255">
        <v>2.3530000000000002</v>
      </c>
      <c r="O389" s="255">
        <v>2.6793999999999998</v>
      </c>
      <c r="P389" s="255">
        <v>2.6804000000000001</v>
      </c>
      <c r="Q389" s="255">
        <v>-1E-3</v>
      </c>
      <c r="R389" s="258"/>
      <c r="S389" s="254"/>
      <c r="T389" s="222"/>
      <c r="U389" s="222"/>
      <c r="V389" s="222"/>
      <c r="W389" s="14"/>
      <c r="X389" s="14"/>
      <c r="Y389" s="14"/>
      <c r="Z389" s="14"/>
      <c r="AA389" s="14"/>
      <c r="AB389" s="14"/>
      <c r="AC389" s="14"/>
      <c r="AD389" s="14"/>
    </row>
    <row r="390" spans="1:30" ht="86.45" customHeight="1" x14ac:dyDescent="0.75">
      <c r="A390" s="331"/>
      <c r="B390" s="325"/>
      <c r="C390" s="331"/>
      <c r="D390" s="349"/>
      <c r="E390" s="351"/>
      <c r="F390" s="254" t="s">
        <v>22</v>
      </c>
      <c r="G390" s="265">
        <v>6</v>
      </c>
      <c r="H390" s="266">
        <v>19.0839</v>
      </c>
      <c r="I390" s="255">
        <v>0.38169999999999998</v>
      </c>
      <c r="J390" s="266">
        <v>0.39679999999999999</v>
      </c>
      <c r="K390" s="255">
        <v>0</v>
      </c>
      <c r="L390" s="255">
        <v>2.0038</v>
      </c>
      <c r="M390" s="267">
        <v>1.5345</v>
      </c>
      <c r="N390" s="255">
        <v>0.22</v>
      </c>
      <c r="O390" s="255">
        <v>2.3855</v>
      </c>
      <c r="P390" s="255">
        <v>2.1513</v>
      </c>
      <c r="Q390" s="255">
        <v>0.23419999999999999</v>
      </c>
      <c r="R390" s="258"/>
      <c r="S390" s="254"/>
      <c r="T390" s="222"/>
      <c r="U390" s="222"/>
      <c r="V390" s="222"/>
      <c r="W390" s="14"/>
      <c r="X390" s="14"/>
      <c r="Y390" s="14"/>
      <c r="Z390" s="14"/>
      <c r="AA390" s="14"/>
      <c r="AB390" s="14"/>
      <c r="AC390" s="14"/>
      <c r="AD390" s="14"/>
    </row>
    <row r="391" spans="1:30" ht="86.45" customHeight="1" x14ac:dyDescent="0.75">
      <c r="A391" s="332"/>
      <c r="B391" s="326"/>
      <c r="C391" s="332"/>
      <c r="D391" s="348"/>
      <c r="E391" s="352"/>
      <c r="F391" s="254" t="s">
        <v>24</v>
      </c>
      <c r="G391" s="273"/>
      <c r="H391" s="357" t="s">
        <v>1409</v>
      </c>
      <c r="I391" s="358"/>
      <c r="J391" s="358"/>
      <c r="K391" s="358"/>
      <c r="L391" s="358"/>
      <c r="M391" s="358"/>
      <c r="N391" s="358"/>
      <c r="O391" s="358"/>
      <c r="P391" s="358"/>
      <c r="Q391" s="359"/>
      <c r="R391" s="273"/>
      <c r="S391" s="273"/>
      <c r="T391" s="222"/>
      <c r="U391" s="222"/>
      <c r="V391" s="222"/>
      <c r="W391" s="14"/>
      <c r="X391" s="14"/>
      <c r="Y391" s="14"/>
      <c r="Z391" s="14"/>
      <c r="AA391" s="14"/>
      <c r="AB391" s="14"/>
      <c r="AC391" s="14"/>
      <c r="AD391" s="14"/>
    </row>
    <row r="392" spans="1:30" s="244" customFormat="1" ht="86.45" customHeight="1" x14ac:dyDescent="0.75">
      <c r="A392" s="330">
        <v>136</v>
      </c>
      <c r="B392" s="324" t="s">
        <v>1291</v>
      </c>
      <c r="C392" s="330" t="s">
        <v>648</v>
      </c>
      <c r="D392" s="347">
        <v>900000001640</v>
      </c>
      <c r="E392" s="347" t="s">
        <v>1298</v>
      </c>
      <c r="F392" s="216" t="s">
        <v>18</v>
      </c>
      <c r="G392" s="216">
        <v>7.87</v>
      </c>
      <c r="H392" s="233">
        <v>25.22</v>
      </c>
      <c r="I392" s="233">
        <f>+H392*0.005</f>
        <v>0.12609999999999999</v>
      </c>
      <c r="J392" s="233">
        <v>0</v>
      </c>
      <c r="K392" s="233">
        <f>+(117+3)/1000</f>
        <v>0.12</v>
      </c>
      <c r="L392" s="233">
        <f>+H392*(8.5/100)</f>
        <v>2.1436999999999999</v>
      </c>
      <c r="M392" s="237">
        <v>0</v>
      </c>
      <c r="N392" s="233">
        <f>+(1984+41)/1000</f>
        <v>2.0249999999999999</v>
      </c>
      <c r="O392" s="233">
        <f>+I392+L392</f>
        <v>2.2698</v>
      </c>
      <c r="P392" s="233">
        <f>+((J392+K392)+(M392+N392))</f>
        <v>2.145</v>
      </c>
      <c r="Q392" s="233">
        <f>+O392-P392</f>
        <v>0.12480000000000002</v>
      </c>
      <c r="R392" s="217" t="s">
        <v>319</v>
      </c>
      <c r="S392" s="216" t="s">
        <v>1047</v>
      </c>
      <c r="T392" s="243" t="s">
        <v>282</v>
      </c>
      <c r="U392" s="243" t="s">
        <v>283</v>
      </c>
      <c r="V392" s="243"/>
    </row>
    <row r="393" spans="1:30" s="244" customFormat="1" ht="86.45" customHeight="1" x14ac:dyDescent="0.75">
      <c r="A393" s="331"/>
      <c r="B393" s="325"/>
      <c r="C393" s="331"/>
      <c r="D393" s="349"/>
      <c r="E393" s="349"/>
      <c r="F393" s="216" t="s">
        <v>20</v>
      </c>
      <c r="G393" s="216">
        <v>6</v>
      </c>
      <c r="H393" s="233">
        <v>34.466099999999997</v>
      </c>
      <c r="I393" s="233">
        <f>+H393*0.005</f>
        <v>0.1723305</v>
      </c>
      <c r="J393" s="233">
        <v>0</v>
      </c>
      <c r="K393" s="233">
        <v>0.17199999999999999</v>
      </c>
      <c r="L393" s="233">
        <f>+H393*(8.5/100)</f>
        <v>2.9296185000000001</v>
      </c>
      <c r="M393" s="237">
        <v>0</v>
      </c>
      <c r="N393" s="233">
        <v>2.9119999999999999</v>
      </c>
      <c r="O393" s="233">
        <f>+I393+L393</f>
        <v>3.1019490000000003</v>
      </c>
      <c r="P393" s="233">
        <f>+((J393+K393)+(M393+N393))</f>
        <v>3.0840000000000001</v>
      </c>
      <c r="Q393" s="233">
        <f>+O393-P393</f>
        <v>1.7949000000000215E-2</v>
      </c>
      <c r="R393" s="217" t="s">
        <v>372</v>
      </c>
      <c r="S393" s="216" t="s">
        <v>1048</v>
      </c>
      <c r="T393" s="243" t="s">
        <v>282</v>
      </c>
      <c r="U393" s="243" t="s">
        <v>283</v>
      </c>
      <c r="V393" s="243"/>
    </row>
    <row r="394" spans="1:30" s="244" customFormat="1" ht="86.45" customHeight="1" x14ac:dyDescent="0.75">
      <c r="A394" s="331"/>
      <c r="B394" s="325"/>
      <c r="C394" s="331"/>
      <c r="D394" s="349"/>
      <c r="E394" s="349"/>
      <c r="F394" s="216" t="s">
        <v>21</v>
      </c>
      <c r="G394" s="216">
        <v>6</v>
      </c>
      <c r="H394" s="233">
        <v>29.066500000000001</v>
      </c>
      <c r="I394" s="233">
        <f>+H394*0.01</f>
        <v>0.29066500000000001</v>
      </c>
      <c r="J394" s="233">
        <v>0</v>
      </c>
      <c r="K394" s="233">
        <f>(123*1000)/1000000</f>
        <v>0.123</v>
      </c>
      <c r="L394" s="233">
        <f>+H394*(10/100)</f>
        <v>2.9066500000000004</v>
      </c>
      <c r="M394" s="237">
        <v>0</v>
      </c>
      <c r="N394" s="233">
        <f>((116+2791)*1000)/1000000</f>
        <v>2.907</v>
      </c>
      <c r="O394" s="233">
        <f>+I394+L394</f>
        <v>3.1973150000000006</v>
      </c>
      <c r="P394" s="233">
        <f>+((J394+K394)+(M394+N394))</f>
        <v>3.0300000000000002</v>
      </c>
      <c r="Q394" s="233">
        <f>+O394-P394</f>
        <v>0.16731500000000032</v>
      </c>
      <c r="R394" s="217" t="s">
        <v>284</v>
      </c>
      <c r="S394" s="216" t="s">
        <v>1049</v>
      </c>
      <c r="T394" s="243" t="s">
        <v>282</v>
      </c>
      <c r="U394" s="243" t="s">
        <v>283</v>
      </c>
      <c r="V394" s="243"/>
    </row>
    <row r="395" spans="1:30" s="244" customFormat="1" ht="86.45" customHeight="1" x14ac:dyDescent="0.75">
      <c r="A395" s="331"/>
      <c r="B395" s="325"/>
      <c r="C395" s="331"/>
      <c r="D395" s="349"/>
      <c r="E395" s="349"/>
      <c r="F395" s="216" t="s">
        <v>22</v>
      </c>
      <c r="G395" s="216">
        <v>7</v>
      </c>
      <c r="H395" s="233">
        <v>22.065177988994499</v>
      </c>
      <c r="I395" s="233">
        <f>+H395*0.02</f>
        <v>0.44130355977989</v>
      </c>
      <c r="J395" s="234">
        <v>0</v>
      </c>
      <c r="K395" s="233">
        <f>((201)*1000)/1000000</f>
        <v>0.20100000000000001</v>
      </c>
      <c r="L395" s="233">
        <f>+H395*(10.5/100)</f>
        <v>2.3168436888444224</v>
      </c>
      <c r="M395" s="237">
        <v>1.6576</v>
      </c>
      <c r="N395" s="233">
        <f>((406+10)*1000)/1000000</f>
        <v>0.41599999999999998</v>
      </c>
      <c r="O395" s="233">
        <f t="shared" si="68"/>
        <v>2.7581472486243124</v>
      </c>
      <c r="P395" s="233">
        <f t="shared" si="64"/>
        <v>2.2746</v>
      </c>
      <c r="Q395" s="233">
        <f t="shared" si="65"/>
        <v>0.48354724862431242</v>
      </c>
      <c r="R395" s="216" t="s">
        <v>492</v>
      </c>
      <c r="S395" s="216" t="s">
        <v>103</v>
      </c>
      <c r="T395" s="243" t="s">
        <v>282</v>
      </c>
      <c r="U395" s="243" t="s">
        <v>283</v>
      </c>
      <c r="V395" s="243"/>
      <c r="W395" s="245"/>
      <c r="X395" s="245"/>
      <c r="Y395" s="245"/>
      <c r="Z395" s="245"/>
      <c r="AA395" s="245"/>
      <c r="AB395" s="245"/>
      <c r="AC395" s="245"/>
      <c r="AD395" s="245"/>
    </row>
    <row r="396" spans="1:30" s="244" customFormat="1" ht="86.45" customHeight="1" x14ac:dyDescent="0.75">
      <c r="A396" s="331"/>
      <c r="B396" s="325"/>
      <c r="C396" s="331"/>
      <c r="D396" s="349"/>
      <c r="E396" s="348"/>
      <c r="F396" s="223" t="s">
        <v>24</v>
      </c>
      <c r="G396" s="223">
        <v>7</v>
      </c>
      <c r="H396" s="234">
        <v>21.790493000000001</v>
      </c>
      <c r="I396" s="234">
        <f>+H396*(2.75/100)</f>
        <v>0.59923855749999999</v>
      </c>
      <c r="J396" s="234">
        <v>0</v>
      </c>
      <c r="K396" s="234">
        <v>0.36</v>
      </c>
      <c r="L396" s="234">
        <f>+H396*(11/100)</f>
        <v>2.39695423</v>
      </c>
      <c r="M396" s="238">
        <v>2.2252999999999998</v>
      </c>
      <c r="N396" s="234">
        <v>0.28100000000000003</v>
      </c>
      <c r="O396" s="234">
        <f t="shared" si="68"/>
        <v>2.9961927875000001</v>
      </c>
      <c r="P396" s="234">
        <f t="shared" si="64"/>
        <v>2.8662999999999998</v>
      </c>
      <c r="Q396" s="234">
        <f t="shared" si="65"/>
        <v>0.12989278750000022</v>
      </c>
      <c r="R396" s="271" t="s">
        <v>104</v>
      </c>
      <c r="S396" s="223" t="s">
        <v>105</v>
      </c>
      <c r="T396" s="243" t="s">
        <v>282</v>
      </c>
      <c r="U396" s="243" t="s">
        <v>283</v>
      </c>
      <c r="V396" s="243"/>
      <c r="W396" s="245"/>
      <c r="X396" s="245"/>
      <c r="Y396" s="245"/>
      <c r="Z396" s="245"/>
      <c r="AA396" s="245"/>
      <c r="AB396" s="245"/>
      <c r="AC396" s="245"/>
      <c r="AD396" s="245"/>
    </row>
    <row r="397" spans="1:30" s="244" customFormat="1" ht="86.45" customHeight="1" x14ac:dyDescent="0.75">
      <c r="A397" s="331"/>
      <c r="B397" s="325"/>
      <c r="C397" s="331"/>
      <c r="D397" s="349"/>
      <c r="E397" s="350" t="s">
        <v>1313</v>
      </c>
      <c r="F397" s="254" t="s">
        <v>18</v>
      </c>
      <c r="G397" s="265">
        <v>5.3</v>
      </c>
      <c r="H397" s="266">
        <v>23.812999999999999</v>
      </c>
      <c r="I397" s="266">
        <v>0.1191</v>
      </c>
      <c r="J397" s="266">
        <v>0</v>
      </c>
      <c r="K397" s="266">
        <v>0.12</v>
      </c>
      <c r="L397" s="266">
        <v>2.0240999999999998</v>
      </c>
      <c r="M397" s="267">
        <v>0</v>
      </c>
      <c r="N397" s="266">
        <v>2.0249999999999999</v>
      </c>
      <c r="O397" s="266">
        <f t="shared" si="68"/>
        <v>2.1431999999999998</v>
      </c>
      <c r="P397" s="266">
        <f t="shared" si="64"/>
        <v>2.145</v>
      </c>
      <c r="Q397" s="266">
        <f t="shared" si="65"/>
        <v>-1.8000000000002458E-3</v>
      </c>
      <c r="R397" s="270"/>
      <c r="S397" s="265"/>
      <c r="T397" s="243"/>
      <c r="U397" s="243"/>
      <c r="V397" s="243"/>
      <c r="W397" s="245"/>
      <c r="X397" s="245"/>
      <c r="Y397" s="245"/>
      <c r="Z397" s="245"/>
      <c r="AA397" s="245"/>
      <c r="AB397" s="245"/>
      <c r="AC397" s="245"/>
      <c r="AD397" s="245"/>
    </row>
    <row r="398" spans="1:30" s="244" customFormat="1" ht="86.45" customHeight="1" x14ac:dyDescent="0.75">
      <c r="A398" s="331"/>
      <c r="B398" s="325"/>
      <c r="C398" s="331"/>
      <c r="D398" s="349"/>
      <c r="E398" s="351"/>
      <c r="F398" s="254" t="s">
        <v>20</v>
      </c>
      <c r="G398" s="265">
        <v>6</v>
      </c>
      <c r="H398" s="266">
        <v>34.466099999999997</v>
      </c>
      <c r="I398" s="266">
        <v>0.17230000000000001</v>
      </c>
      <c r="J398" s="266">
        <v>0</v>
      </c>
      <c r="K398" s="266">
        <v>0.17299999999999999</v>
      </c>
      <c r="L398" s="266">
        <v>2.9296000000000002</v>
      </c>
      <c r="M398" s="267">
        <v>0</v>
      </c>
      <c r="N398" s="266">
        <v>2.93</v>
      </c>
      <c r="O398" s="266">
        <f t="shared" si="68"/>
        <v>3.1019000000000001</v>
      </c>
      <c r="P398" s="266">
        <f t="shared" si="64"/>
        <v>3.1030000000000002</v>
      </c>
      <c r="Q398" s="266">
        <f t="shared" si="65"/>
        <v>-1.1000000000001009E-3</v>
      </c>
      <c r="R398" s="270"/>
      <c r="S398" s="265"/>
      <c r="T398" s="243"/>
      <c r="U398" s="243"/>
      <c r="V398" s="243"/>
      <c r="W398" s="245"/>
      <c r="X398" s="245"/>
      <c r="Y398" s="245"/>
      <c r="Z398" s="245"/>
      <c r="AA398" s="245"/>
      <c r="AB398" s="245"/>
      <c r="AC398" s="245"/>
      <c r="AD398" s="245"/>
    </row>
    <row r="399" spans="1:30" s="244" customFormat="1" ht="86.45" customHeight="1" x14ac:dyDescent="0.75">
      <c r="A399" s="331"/>
      <c r="B399" s="325"/>
      <c r="C399" s="331"/>
      <c r="D399" s="349"/>
      <c r="E399" s="351"/>
      <c r="F399" s="254" t="s">
        <v>21</v>
      </c>
      <c r="G399" s="265">
        <v>6</v>
      </c>
      <c r="H399" s="266">
        <v>29.066500000000001</v>
      </c>
      <c r="I399" s="266">
        <v>0.29070000000000001</v>
      </c>
      <c r="J399" s="266">
        <v>0.16880000000000001</v>
      </c>
      <c r="K399" s="266">
        <v>0.123</v>
      </c>
      <c r="L399" s="266">
        <v>2.9066000000000001</v>
      </c>
      <c r="M399" s="267">
        <v>0</v>
      </c>
      <c r="N399" s="266">
        <v>2.907</v>
      </c>
      <c r="O399" s="266">
        <f t="shared" si="68"/>
        <v>3.1973000000000003</v>
      </c>
      <c r="P399" s="266">
        <f t="shared" si="64"/>
        <v>3.1987999999999999</v>
      </c>
      <c r="Q399" s="266">
        <f t="shared" si="65"/>
        <v>-1.4999999999996128E-3</v>
      </c>
      <c r="R399" s="270"/>
      <c r="S399" s="265"/>
      <c r="T399" s="243"/>
      <c r="U399" s="243"/>
      <c r="V399" s="243"/>
      <c r="W399" s="245"/>
      <c r="X399" s="245"/>
      <c r="Y399" s="245"/>
      <c r="Z399" s="245"/>
      <c r="AA399" s="245"/>
      <c r="AB399" s="245"/>
      <c r="AC399" s="245"/>
      <c r="AD399" s="245"/>
    </row>
    <row r="400" spans="1:30" s="244" customFormat="1" ht="86.45" customHeight="1" x14ac:dyDescent="0.75">
      <c r="A400" s="331"/>
      <c r="B400" s="325"/>
      <c r="C400" s="331"/>
      <c r="D400" s="349"/>
      <c r="E400" s="351"/>
      <c r="F400" s="254" t="s">
        <v>22</v>
      </c>
      <c r="G400" s="265">
        <v>6</v>
      </c>
      <c r="H400" s="266">
        <v>20.947600000000001</v>
      </c>
      <c r="I400" s="266">
        <v>0.41899999999999998</v>
      </c>
      <c r="J400" s="266">
        <v>0.21890000000000001</v>
      </c>
      <c r="K400" s="266">
        <v>0.20100000000000001</v>
      </c>
      <c r="L400" s="266">
        <v>2.1995</v>
      </c>
      <c r="M400" s="267">
        <v>1.6576</v>
      </c>
      <c r="N400" s="266">
        <v>0.54200000000000004</v>
      </c>
      <c r="O400" s="266">
        <f t="shared" si="68"/>
        <v>2.6185</v>
      </c>
      <c r="P400" s="266">
        <f t="shared" si="64"/>
        <v>2.6195000000000004</v>
      </c>
      <c r="Q400" s="266">
        <f t="shared" si="65"/>
        <v>-1.000000000000334E-3</v>
      </c>
      <c r="R400" s="270"/>
      <c r="S400" s="265"/>
      <c r="T400" s="243"/>
      <c r="U400" s="243"/>
      <c r="V400" s="243"/>
      <c r="W400" s="245"/>
      <c r="X400" s="245"/>
      <c r="Y400" s="245"/>
      <c r="Z400" s="245"/>
      <c r="AA400" s="245"/>
      <c r="AB400" s="245"/>
      <c r="AC400" s="245"/>
      <c r="AD400" s="245"/>
    </row>
    <row r="401" spans="1:30" s="244" customFormat="1" ht="86.45" customHeight="1" x14ac:dyDescent="0.75">
      <c r="A401" s="332"/>
      <c r="B401" s="326"/>
      <c r="C401" s="332"/>
      <c r="D401" s="348"/>
      <c r="E401" s="352"/>
      <c r="F401" s="265" t="s">
        <v>24</v>
      </c>
      <c r="G401" s="265">
        <v>7</v>
      </c>
      <c r="H401" s="266">
        <v>21.761700000000001</v>
      </c>
      <c r="I401" s="266">
        <v>0.59840000000000004</v>
      </c>
      <c r="J401" s="266">
        <v>0.20610000000000001</v>
      </c>
      <c r="K401" s="266">
        <v>0.39300000000000002</v>
      </c>
      <c r="L401" s="266">
        <v>2.3938000000000001</v>
      </c>
      <c r="M401" s="267">
        <v>2.2252999999999998</v>
      </c>
      <c r="N401" s="266">
        <v>0.28100000000000003</v>
      </c>
      <c r="O401" s="266">
        <f t="shared" si="68"/>
        <v>2.9922000000000004</v>
      </c>
      <c r="P401" s="266">
        <f t="shared" si="64"/>
        <v>3.1053999999999999</v>
      </c>
      <c r="Q401" s="266">
        <f t="shared" si="65"/>
        <v>-0.11319999999999952</v>
      </c>
      <c r="R401" s="270"/>
      <c r="S401" s="265"/>
      <c r="T401" s="243"/>
      <c r="U401" s="243"/>
      <c r="V401" s="243"/>
      <c r="W401" s="245"/>
      <c r="X401" s="245"/>
      <c r="Y401" s="245"/>
      <c r="Z401" s="245"/>
      <c r="AA401" s="245"/>
      <c r="AB401" s="245"/>
      <c r="AC401" s="245"/>
      <c r="AD401" s="245"/>
    </row>
    <row r="402" spans="1:30" s="244" customFormat="1" ht="86.45" customHeight="1" x14ac:dyDescent="0.75">
      <c r="A402" s="330">
        <v>137</v>
      </c>
      <c r="B402" s="324" t="s">
        <v>812</v>
      </c>
      <c r="C402" s="330" t="s">
        <v>511</v>
      </c>
      <c r="D402" s="347">
        <v>410019000684</v>
      </c>
      <c r="E402" s="221" t="s">
        <v>1298</v>
      </c>
      <c r="F402" s="216" t="s">
        <v>20</v>
      </c>
      <c r="G402" s="216">
        <v>2.25</v>
      </c>
      <c r="H402" s="233">
        <v>1.376225</v>
      </c>
      <c r="I402" s="233">
        <f>+H402*0.005</f>
        <v>6.8811250000000001E-3</v>
      </c>
      <c r="J402" s="233">
        <v>0</v>
      </c>
      <c r="K402" s="233">
        <v>0</v>
      </c>
      <c r="L402" s="233">
        <f>+H402*(8.5/100)</f>
        <v>0.11697912500000002</v>
      </c>
      <c r="M402" s="237">
        <v>0</v>
      </c>
      <c r="N402" s="233">
        <f>((92)*1000)/1000000</f>
        <v>9.1999999999999998E-2</v>
      </c>
      <c r="O402" s="233">
        <f t="shared" si="68"/>
        <v>0.12386025000000002</v>
      </c>
      <c r="P402" s="233">
        <f t="shared" si="64"/>
        <v>9.1999999999999998E-2</v>
      </c>
      <c r="Q402" s="233">
        <f t="shared" si="65"/>
        <v>3.186025000000002E-2</v>
      </c>
      <c r="R402" s="217" t="s">
        <v>292</v>
      </c>
      <c r="S402" s="216" t="s">
        <v>1050</v>
      </c>
      <c r="T402" s="243" t="s">
        <v>282</v>
      </c>
      <c r="U402" s="243" t="s">
        <v>283</v>
      </c>
      <c r="V402" s="243"/>
    </row>
    <row r="403" spans="1:30" s="244" customFormat="1" ht="86.45" customHeight="1" x14ac:dyDescent="0.75">
      <c r="A403" s="332"/>
      <c r="B403" s="326"/>
      <c r="C403" s="332"/>
      <c r="D403" s="348"/>
      <c r="E403" s="257" t="s">
        <v>1407</v>
      </c>
      <c r="F403" s="254" t="s">
        <v>20</v>
      </c>
      <c r="G403" s="254">
        <v>2.25</v>
      </c>
      <c r="H403" s="255">
        <v>2.2557999999999998</v>
      </c>
      <c r="I403" s="255">
        <v>1.1299999999999999E-2</v>
      </c>
      <c r="J403" s="255">
        <v>7.4999999999999997E-2</v>
      </c>
      <c r="K403" s="255">
        <v>0</v>
      </c>
      <c r="L403" s="255">
        <v>0.19170000000000001</v>
      </c>
      <c r="M403" s="256">
        <v>0</v>
      </c>
      <c r="N403" s="255">
        <v>9.1999999999999998E-2</v>
      </c>
      <c r="O403" s="255">
        <v>0.20300000000000001</v>
      </c>
      <c r="P403" s="255">
        <v>0.16700000000000001</v>
      </c>
      <c r="Q403" s="255">
        <v>3.5999999999999997E-2</v>
      </c>
      <c r="R403" s="258"/>
      <c r="S403" s="254"/>
      <c r="T403" s="243"/>
      <c r="U403" s="243"/>
      <c r="V403" s="243"/>
    </row>
    <row r="404" spans="1:30" s="244" customFormat="1" ht="86.45" customHeight="1" x14ac:dyDescent="0.75">
      <c r="A404" s="330">
        <v>138</v>
      </c>
      <c r="B404" s="324" t="s">
        <v>813</v>
      </c>
      <c r="C404" s="330" t="s">
        <v>511</v>
      </c>
      <c r="D404" s="347">
        <v>50499005382</v>
      </c>
      <c r="E404" s="347" t="s">
        <v>1298</v>
      </c>
      <c r="F404" s="216" t="s">
        <v>18</v>
      </c>
      <c r="G404" s="216">
        <v>1.75</v>
      </c>
      <c r="H404" s="233">
        <v>6.3305949999999998</v>
      </c>
      <c r="I404" s="233">
        <f>+H404*0.005</f>
        <v>3.1652975E-2</v>
      </c>
      <c r="J404" s="233">
        <v>9.1899999999999996E-2</v>
      </c>
      <c r="K404" s="233">
        <v>0</v>
      </c>
      <c r="L404" s="233">
        <f>+H404*(8.5/100)</f>
        <v>0.53810057499999997</v>
      </c>
      <c r="M404" s="237">
        <v>0</v>
      </c>
      <c r="N404" s="233">
        <f>(399+55)/1000</f>
        <v>0.45400000000000001</v>
      </c>
      <c r="O404" s="233">
        <f>+I404+L404</f>
        <v>0.56975354999999994</v>
      </c>
      <c r="P404" s="233">
        <f>+((J404+K404)+(M404+N404))</f>
        <v>0.54590000000000005</v>
      </c>
      <c r="Q404" s="233">
        <f>+O404-P404</f>
        <v>2.385354999999989E-2</v>
      </c>
      <c r="R404" s="217" t="s">
        <v>284</v>
      </c>
      <c r="S404" s="216" t="s">
        <v>1051</v>
      </c>
      <c r="T404" s="243" t="s">
        <v>282</v>
      </c>
      <c r="U404" s="243" t="s">
        <v>283</v>
      </c>
      <c r="V404" s="243"/>
    </row>
    <row r="405" spans="1:30" s="244" customFormat="1" ht="86.45" customHeight="1" x14ac:dyDescent="0.75">
      <c r="A405" s="331"/>
      <c r="B405" s="325"/>
      <c r="C405" s="331"/>
      <c r="D405" s="349"/>
      <c r="E405" s="348"/>
      <c r="F405" s="216" t="s">
        <v>20</v>
      </c>
      <c r="G405" s="216">
        <v>1.75</v>
      </c>
      <c r="H405" s="233">
        <v>7.6098559999999997</v>
      </c>
      <c r="I405" s="233">
        <f>+H405*0.005</f>
        <v>3.8049279999999998E-2</v>
      </c>
      <c r="J405" s="233">
        <v>0</v>
      </c>
      <c r="K405" s="233">
        <v>0</v>
      </c>
      <c r="L405" s="233">
        <f>+H405*(8.5/100)</f>
        <v>0.64683776000000004</v>
      </c>
      <c r="M405" s="237">
        <v>0.52200000000000002</v>
      </c>
      <c r="N405" s="233">
        <f>(399+55)/1000</f>
        <v>0.45400000000000001</v>
      </c>
      <c r="O405" s="233">
        <f t="shared" si="68"/>
        <v>0.68488704</v>
      </c>
      <c r="P405" s="233">
        <f t="shared" si="64"/>
        <v>0.97599999999999998</v>
      </c>
      <c r="Q405" s="233">
        <f t="shared" si="65"/>
        <v>-0.29111295999999998</v>
      </c>
      <c r="R405" s="217" t="s">
        <v>284</v>
      </c>
      <c r="S405" s="216" t="s">
        <v>1052</v>
      </c>
      <c r="T405" s="243" t="s">
        <v>282</v>
      </c>
      <c r="U405" s="243" t="s">
        <v>310</v>
      </c>
      <c r="V405" s="243"/>
    </row>
    <row r="406" spans="1:30" s="244" customFormat="1" ht="86.45" customHeight="1" x14ac:dyDescent="0.75">
      <c r="A406" s="331"/>
      <c r="B406" s="325"/>
      <c r="C406" s="331"/>
      <c r="D406" s="349"/>
      <c r="E406" s="350" t="s">
        <v>1407</v>
      </c>
      <c r="F406" s="254" t="s">
        <v>18</v>
      </c>
      <c r="G406" s="360" t="s">
        <v>1410</v>
      </c>
      <c r="H406" s="361"/>
      <c r="I406" s="361"/>
      <c r="J406" s="361"/>
      <c r="K406" s="361"/>
      <c r="L406" s="361"/>
      <c r="M406" s="361"/>
      <c r="N406" s="361"/>
      <c r="O406" s="361"/>
      <c r="P406" s="361"/>
      <c r="Q406" s="361"/>
      <c r="R406" s="361"/>
      <c r="S406" s="362"/>
      <c r="T406" s="243"/>
      <c r="U406" s="243"/>
      <c r="V406" s="243"/>
    </row>
    <row r="407" spans="1:30" s="244" customFormat="1" ht="86.45" customHeight="1" x14ac:dyDescent="0.75">
      <c r="A407" s="332"/>
      <c r="B407" s="326"/>
      <c r="C407" s="332"/>
      <c r="D407" s="348"/>
      <c r="E407" s="352"/>
      <c r="F407" s="254" t="s">
        <v>20</v>
      </c>
      <c r="G407" s="254">
        <v>1.75</v>
      </c>
      <c r="H407" s="255">
        <v>6.5236000000000001</v>
      </c>
      <c r="I407" s="255">
        <v>3.2599999999999997E-2</v>
      </c>
      <c r="J407" s="255">
        <v>7.8799999999999995E-2</v>
      </c>
      <c r="K407" s="255">
        <v>0</v>
      </c>
      <c r="L407" s="255">
        <v>0.55449999999999999</v>
      </c>
      <c r="M407" s="256">
        <v>0</v>
      </c>
      <c r="N407" s="255">
        <v>0.55200000000000005</v>
      </c>
      <c r="O407" s="255">
        <v>0.53710000000000002</v>
      </c>
      <c r="P407" s="255">
        <v>0.52759999999999996</v>
      </c>
      <c r="Q407" s="255">
        <v>-4.0399999999999998E-2</v>
      </c>
      <c r="R407" s="258"/>
      <c r="S407" s="254"/>
      <c r="T407" s="243"/>
      <c r="U407" s="243"/>
      <c r="V407" s="243"/>
    </row>
    <row r="408" spans="1:30" ht="86.45" customHeight="1" x14ac:dyDescent="0.75">
      <c r="A408" s="333">
        <v>139</v>
      </c>
      <c r="B408" s="353" t="s">
        <v>899</v>
      </c>
      <c r="C408" s="333" t="s">
        <v>511</v>
      </c>
      <c r="D408" s="354">
        <v>176029030058</v>
      </c>
      <c r="E408" s="221"/>
      <c r="F408" s="216" t="s">
        <v>20</v>
      </c>
      <c r="G408" s="216">
        <v>5</v>
      </c>
      <c r="H408" s="233">
        <v>24.08286</v>
      </c>
      <c r="I408" s="233">
        <f>+H408*0.005</f>
        <v>0.1204143</v>
      </c>
      <c r="J408" s="233">
        <v>0</v>
      </c>
      <c r="K408" s="233">
        <v>0</v>
      </c>
      <c r="L408" s="233">
        <f>+H408*(8.5/100)</f>
        <v>2.0470431000000002</v>
      </c>
      <c r="M408" s="237">
        <v>0</v>
      </c>
      <c r="N408" s="233">
        <v>0</v>
      </c>
      <c r="O408" s="233">
        <f>+I408+L408</f>
        <v>2.1674574000000004</v>
      </c>
      <c r="P408" s="233">
        <f>+((J408+K408)+(M408+N408))</f>
        <v>0</v>
      </c>
      <c r="Q408" s="233">
        <f>+O408-P408</f>
        <v>2.1674574000000004</v>
      </c>
      <c r="R408" s="217" t="s">
        <v>19</v>
      </c>
      <c r="S408" s="216" t="s">
        <v>446</v>
      </c>
      <c r="T408" s="222" t="s">
        <v>344</v>
      </c>
      <c r="U408" s="222"/>
      <c r="V408" s="222"/>
    </row>
    <row r="409" spans="1:30" ht="86.45" customHeight="1" x14ac:dyDescent="0.75">
      <c r="A409" s="333"/>
      <c r="B409" s="353"/>
      <c r="C409" s="333"/>
      <c r="D409" s="354"/>
      <c r="E409" s="221"/>
      <c r="F409" s="216" t="s">
        <v>21</v>
      </c>
      <c r="G409" s="216">
        <v>5</v>
      </c>
      <c r="H409" s="233">
        <v>25.244385000000001</v>
      </c>
      <c r="I409" s="233">
        <f>+H409*0.01</f>
        <v>0.25244385000000003</v>
      </c>
      <c r="J409" s="233">
        <v>0</v>
      </c>
      <c r="K409" s="233">
        <v>0</v>
      </c>
      <c r="L409" s="233">
        <f>+H409*(10/100)</f>
        <v>2.5244385000000005</v>
      </c>
      <c r="M409" s="237">
        <v>0</v>
      </c>
      <c r="N409" s="233">
        <v>0</v>
      </c>
      <c r="O409" s="233">
        <f t="shared" si="68"/>
        <v>2.7768823500000006</v>
      </c>
      <c r="P409" s="233">
        <f t="shared" si="64"/>
        <v>0</v>
      </c>
      <c r="Q409" s="233">
        <f t="shared" si="65"/>
        <v>2.7768823500000006</v>
      </c>
      <c r="R409" s="217" t="s">
        <v>19</v>
      </c>
      <c r="S409" s="216" t="s">
        <v>489</v>
      </c>
      <c r="T409" s="222" t="s">
        <v>344</v>
      </c>
      <c r="U409" s="222"/>
      <c r="V409" s="222"/>
    </row>
    <row r="410" spans="1:30" ht="86.45" customHeight="1" x14ac:dyDescent="0.75">
      <c r="A410" s="333"/>
      <c r="B410" s="353"/>
      <c r="C410" s="333"/>
      <c r="D410" s="354"/>
      <c r="E410" s="221"/>
      <c r="F410" s="216" t="s">
        <v>22</v>
      </c>
      <c r="G410" s="216">
        <v>5</v>
      </c>
      <c r="H410" s="233">
        <f>22431738/1000000</f>
        <v>22.431737999999999</v>
      </c>
      <c r="I410" s="233">
        <f>+H410*0.02</f>
        <v>0.44863476000000002</v>
      </c>
      <c r="J410" s="233">
        <v>0</v>
      </c>
      <c r="K410" s="233">
        <v>0</v>
      </c>
      <c r="L410" s="233">
        <f>+H410*(10.5/100)</f>
        <v>2.3553324899999999</v>
      </c>
      <c r="M410" s="237">
        <v>0</v>
      </c>
      <c r="N410" s="233">
        <v>0</v>
      </c>
      <c r="O410" s="233">
        <f t="shared" si="68"/>
        <v>2.8039672499999999</v>
      </c>
      <c r="P410" s="233">
        <f t="shared" si="64"/>
        <v>0</v>
      </c>
      <c r="Q410" s="233">
        <f t="shared" si="65"/>
        <v>2.8039672499999999</v>
      </c>
      <c r="R410" s="216" t="s">
        <v>19</v>
      </c>
      <c r="S410" s="216" t="s">
        <v>108</v>
      </c>
      <c r="T410" s="222" t="s">
        <v>344</v>
      </c>
      <c r="U410" s="222"/>
      <c r="V410" s="222"/>
      <c r="W410" s="14"/>
      <c r="X410" s="14"/>
      <c r="Y410" s="14"/>
      <c r="Z410" s="14"/>
      <c r="AA410" s="14"/>
      <c r="AB410" s="14"/>
      <c r="AC410" s="14"/>
      <c r="AD410" s="14"/>
    </row>
    <row r="411" spans="1:30" ht="86.45" customHeight="1" x14ac:dyDescent="0.75">
      <c r="A411" s="333"/>
      <c r="B411" s="353"/>
      <c r="C411" s="333"/>
      <c r="D411" s="354"/>
      <c r="E411" s="221"/>
      <c r="F411" s="216" t="s">
        <v>24</v>
      </c>
      <c r="G411" s="216">
        <v>5</v>
      </c>
      <c r="H411" s="233">
        <v>17.038278999999999</v>
      </c>
      <c r="I411" s="233">
        <f>+H411*(2.75/100)</f>
        <v>0.46855267249999999</v>
      </c>
      <c r="J411" s="233">
        <v>0</v>
      </c>
      <c r="K411" s="233">
        <v>0</v>
      </c>
      <c r="L411" s="233">
        <f>+H411*(11/100)</f>
        <v>1.87421069</v>
      </c>
      <c r="M411" s="237">
        <v>0</v>
      </c>
      <c r="N411" s="233">
        <v>0</v>
      </c>
      <c r="O411" s="233">
        <f t="shared" si="68"/>
        <v>2.3427633624999999</v>
      </c>
      <c r="P411" s="233">
        <f t="shared" si="64"/>
        <v>0</v>
      </c>
      <c r="Q411" s="233">
        <f t="shared" si="65"/>
        <v>2.3427633624999999</v>
      </c>
      <c r="R411" s="217" t="s">
        <v>497</v>
      </c>
      <c r="S411" s="216" t="s">
        <v>84</v>
      </c>
      <c r="T411" s="222" t="s">
        <v>344</v>
      </c>
      <c r="U411" s="222"/>
      <c r="V411" s="222"/>
      <c r="W411" s="14"/>
      <c r="X411" s="14"/>
      <c r="Y411" s="14"/>
      <c r="Z411" s="14"/>
      <c r="AA411" s="14"/>
      <c r="AB411" s="14"/>
      <c r="AC411" s="14"/>
      <c r="AD411" s="14"/>
    </row>
    <row r="412" spans="1:30" ht="86.45" customHeight="1" x14ac:dyDescent="0.75">
      <c r="A412" s="216">
        <v>140</v>
      </c>
      <c r="B412" s="220" t="s">
        <v>814</v>
      </c>
      <c r="C412" s="216" t="s">
        <v>511</v>
      </c>
      <c r="D412" s="221">
        <v>170149001673</v>
      </c>
      <c r="E412" s="221"/>
      <c r="F412" s="216" t="s">
        <v>18</v>
      </c>
      <c r="G412" s="216">
        <v>25</v>
      </c>
      <c r="H412" s="233">
        <v>44.913530999999999</v>
      </c>
      <c r="I412" s="233">
        <f>+H412*0.005</f>
        <v>0.224567655</v>
      </c>
      <c r="J412" s="233">
        <v>0</v>
      </c>
      <c r="K412" s="233">
        <v>0.20599999999999999</v>
      </c>
      <c r="L412" s="233">
        <f>+H412*(8.5/100)</f>
        <v>3.8176501350000001</v>
      </c>
      <c r="M412" s="237">
        <v>3.2072150000000001</v>
      </c>
      <c r="N412" s="233">
        <v>0.70199999999999996</v>
      </c>
      <c r="O412" s="233">
        <f t="shared" si="68"/>
        <v>4.0422177900000005</v>
      </c>
      <c r="P412" s="233">
        <f t="shared" si="64"/>
        <v>4.1152150000000001</v>
      </c>
      <c r="Q412" s="233">
        <f t="shared" si="65"/>
        <v>-7.299720999999959E-2</v>
      </c>
      <c r="R412" s="217" t="s">
        <v>284</v>
      </c>
      <c r="S412" s="216" t="s">
        <v>1053</v>
      </c>
      <c r="T412" s="222" t="s">
        <v>282</v>
      </c>
      <c r="U412" s="222" t="s">
        <v>310</v>
      </c>
      <c r="V412" s="222"/>
    </row>
    <row r="413" spans="1:30" ht="86.45" customHeight="1" x14ac:dyDescent="0.75">
      <c r="A413" s="216">
        <v>141</v>
      </c>
      <c r="B413" s="220" t="s">
        <v>815</v>
      </c>
      <c r="C413" s="216" t="s">
        <v>511</v>
      </c>
      <c r="D413" s="221">
        <v>176029030058</v>
      </c>
      <c r="E413" s="221"/>
      <c r="F413" s="216" t="s">
        <v>18</v>
      </c>
      <c r="G413" s="216">
        <v>5</v>
      </c>
      <c r="H413" s="233">
        <v>21.409088000000001</v>
      </c>
      <c r="I413" s="233">
        <f>+H413*0.005</f>
        <v>0.10704544000000001</v>
      </c>
      <c r="J413" s="233">
        <v>0</v>
      </c>
      <c r="K413" s="233">
        <v>0</v>
      </c>
      <c r="L413" s="233">
        <f>+H413*(8.5/100)</f>
        <v>1.8197724800000001</v>
      </c>
      <c r="M413" s="237">
        <v>0</v>
      </c>
      <c r="N413" s="233">
        <v>0</v>
      </c>
      <c r="O413" s="233">
        <f>+I413+L413</f>
        <v>1.9268179200000002</v>
      </c>
      <c r="P413" s="233">
        <f>+((J413+K413)+(M413+N413))</f>
        <v>0</v>
      </c>
      <c r="Q413" s="233">
        <f>+O413-P413</f>
        <v>1.9268179200000002</v>
      </c>
      <c r="R413" s="217" t="s">
        <v>56</v>
      </c>
      <c r="S413" s="216" t="s">
        <v>346</v>
      </c>
      <c r="T413" s="222" t="s">
        <v>344</v>
      </c>
      <c r="U413" s="222"/>
      <c r="V413" s="222"/>
    </row>
    <row r="414" spans="1:30" ht="86.45" customHeight="1" x14ac:dyDescent="0.75">
      <c r="A414" s="333">
        <v>142</v>
      </c>
      <c r="B414" s="353" t="s">
        <v>816</v>
      </c>
      <c r="C414" s="333" t="s">
        <v>511</v>
      </c>
      <c r="D414" s="354">
        <v>181209030548</v>
      </c>
      <c r="E414" s="221"/>
      <c r="F414" s="216" t="s">
        <v>20</v>
      </c>
      <c r="G414" s="216">
        <v>10</v>
      </c>
      <c r="H414" s="233">
        <f>50069567
/1000000</f>
        <v>50.069566999999999</v>
      </c>
      <c r="I414" s="233">
        <f>+H414*0.005</f>
        <v>0.25034783500000002</v>
      </c>
      <c r="J414" s="233">
        <v>0</v>
      </c>
      <c r="K414" s="233">
        <v>0</v>
      </c>
      <c r="L414" s="233">
        <f>+H414*(8.5/100)</f>
        <v>4.2559131950000006</v>
      </c>
      <c r="M414" s="237">
        <v>0</v>
      </c>
      <c r="N414" s="233">
        <v>0</v>
      </c>
      <c r="O414" s="233">
        <f>+I414+L414</f>
        <v>4.506261030000001</v>
      </c>
      <c r="P414" s="233">
        <f>+((J414+K414)+(M414+N414))</f>
        <v>0</v>
      </c>
      <c r="Q414" s="233">
        <f>+O414-P414</f>
        <v>4.506261030000001</v>
      </c>
      <c r="R414" s="217" t="s">
        <v>19</v>
      </c>
      <c r="S414" s="216" t="s">
        <v>447</v>
      </c>
      <c r="T414" s="222" t="s">
        <v>344</v>
      </c>
      <c r="U414" s="222"/>
      <c r="V414" s="222"/>
    </row>
    <row r="415" spans="1:30" ht="86.45" customHeight="1" x14ac:dyDescent="0.75">
      <c r="A415" s="333"/>
      <c r="B415" s="353"/>
      <c r="C415" s="333"/>
      <c r="D415" s="354"/>
      <c r="E415" s="221"/>
      <c r="F415" s="216" t="s">
        <v>21</v>
      </c>
      <c r="G415" s="216">
        <v>10</v>
      </c>
      <c r="H415" s="233">
        <v>41.129961999999999</v>
      </c>
      <c r="I415" s="233">
        <f>+H415*0.01</f>
        <v>0.41129961999999998</v>
      </c>
      <c r="J415" s="233">
        <v>0</v>
      </c>
      <c r="K415" s="233">
        <v>0</v>
      </c>
      <c r="L415" s="233">
        <f>+H415*(10/100)</f>
        <v>4.1129962000000004</v>
      </c>
      <c r="M415" s="237">
        <v>0</v>
      </c>
      <c r="N415" s="233">
        <v>0</v>
      </c>
      <c r="O415" s="233">
        <f t="shared" si="68"/>
        <v>4.5242958200000007</v>
      </c>
      <c r="P415" s="233">
        <f t="shared" si="64"/>
        <v>0</v>
      </c>
      <c r="Q415" s="233">
        <f t="shared" si="65"/>
        <v>4.5242958200000007</v>
      </c>
      <c r="R415" s="217" t="s">
        <v>19</v>
      </c>
      <c r="S415" s="216" t="s">
        <v>490</v>
      </c>
      <c r="T415" s="222" t="s">
        <v>344</v>
      </c>
      <c r="U415" s="222"/>
      <c r="V415" s="222"/>
    </row>
    <row r="416" spans="1:30" ht="86.45" customHeight="1" x14ac:dyDescent="0.75">
      <c r="A416" s="333"/>
      <c r="B416" s="353"/>
      <c r="C416" s="333"/>
      <c r="D416" s="354"/>
      <c r="E416" s="221"/>
      <c r="F416" s="216" t="s">
        <v>22</v>
      </c>
      <c r="G416" s="216">
        <v>10</v>
      </c>
      <c r="H416" s="233">
        <f>37568799/1000000</f>
        <v>37.568798999999999</v>
      </c>
      <c r="I416" s="233">
        <f>+H416*0.02</f>
        <v>0.75137597999999994</v>
      </c>
      <c r="J416" s="233">
        <v>0</v>
      </c>
      <c r="K416" s="233">
        <v>0</v>
      </c>
      <c r="L416" s="233">
        <f>+H416*(10.5/100)</f>
        <v>3.9447238949999996</v>
      </c>
      <c r="M416" s="237">
        <v>0</v>
      </c>
      <c r="N416" s="233">
        <v>0</v>
      </c>
      <c r="O416" s="233">
        <f t="shared" si="68"/>
        <v>4.6960998749999998</v>
      </c>
      <c r="P416" s="233">
        <f t="shared" si="64"/>
        <v>0</v>
      </c>
      <c r="Q416" s="233">
        <f t="shared" si="65"/>
        <v>4.6960998749999998</v>
      </c>
      <c r="R416" s="216" t="s">
        <v>19</v>
      </c>
      <c r="S416" s="216" t="s">
        <v>109</v>
      </c>
      <c r="T416" s="222" t="s">
        <v>344</v>
      </c>
      <c r="U416" s="222"/>
      <c r="V416" s="222"/>
      <c r="W416" s="14"/>
      <c r="X416" s="14"/>
      <c r="Y416" s="14"/>
      <c r="Z416" s="14"/>
      <c r="AA416" s="14"/>
      <c r="AB416" s="14"/>
      <c r="AC416" s="14"/>
      <c r="AD416" s="14"/>
    </row>
    <row r="417" spans="1:30" ht="86.45" customHeight="1" x14ac:dyDescent="0.75">
      <c r="A417" s="333"/>
      <c r="B417" s="353"/>
      <c r="C417" s="333"/>
      <c r="D417" s="354"/>
      <c r="E417" s="221"/>
      <c r="F417" s="216" t="s">
        <v>24</v>
      </c>
      <c r="G417" s="216">
        <v>10</v>
      </c>
      <c r="H417" s="233">
        <v>35.907800999999999</v>
      </c>
      <c r="I417" s="233">
        <f>+H417*(2.75/100)</f>
        <v>0.98746452750000002</v>
      </c>
      <c r="J417" s="233">
        <v>0</v>
      </c>
      <c r="K417" s="233">
        <v>0</v>
      </c>
      <c r="L417" s="233">
        <f>+H417*(11/100)</f>
        <v>3.9498581100000001</v>
      </c>
      <c r="M417" s="237">
        <v>0</v>
      </c>
      <c r="N417" s="233">
        <v>0</v>
      </c>
      <c r="O417" s="233">
        <f t="shared" si="68"/>
        <v>4.9373226375000003</v>
      </c>
      <c r="P417" s="233">
        <f t="shared" si="64"/>
        <v>0</v>
      </c>
      <c r="Q417" s="233">
        <f t="shared" si="65"/>
        <v>4.9373226375000003</v>
      </c>
      <c r="R417" s="217" t="s">
        <v>496</v>
      </c>
      <c r="S417" s="216" t="s">
        <v>84</v>
      </c>
      <c r="T417" s="222" t="s">
        <v>344</v>
      </c>
      <c r="U417" s="222"/>
      <c r="V417" s="222"/>
      <c r="W417" s="14"/>
      <c r="X417" s="14"/>
      <c r="Y417" s="14"/>
      <c r="Z417" s="14"/>
      <c r="AA417" s="14"/>
      <c r="AB417" s="14"/>
      <c r="AC417" s="14"/>
      <c r="AD417" s="14"/>
    </row>
    <row r="418" spans="1:30" ht="86.45" customHeight="1" x14ac:dyDescent="0.75">
      <c r="A418" s="333"/>
      <c r="B418" s="353"/>
      <c r="C418" s="333"/>
      <c r="D418" s="354"/>
      <c r="E418" s="221"/>
      <c r="F418" s="216" t="s">
        <v>27</v>
      </c>
      <c r="G418" s="223">
        <v>5</v>
      </c>
      <c r="H418" s="234">
        <f>5016719/1000000</f>
        <v>5.0167190000000002</v>
      </c>
      <c r="I418" s="234">
        <f>+H418*(3.5/100)</f>
        <v>0.17558516500000002</v>
      </c>
      <c r="J418" s="234">
        <v>0</v>
      </c>
      <c r="K418" s="234">
        <v>0</v>
      </c>
      <c r="L418" s="234">
        <f>+H418*(11.5/100)</f>
        <v>0.57692268499999999</v>
      </c>
      <c r="M418" s="238">
        <v>0</v>
      </c>
      <c r="N418" s="233">
        <v>0</v>
      </c>
      <c r="O418" s="233">
        <f>+I418+L418</f>
        <v>0.75250784999999998</v>
      </c>
      <c r="P418" s="233">
        <f>+((J418+K418)+(M418+N418))</f>
        <v>0</v>
      </c>
      <c r="Q418" s="233">
        <f>+O418-P418</f>
        <v>0.75250784999999998</v>
      </c>
      <c r="R418" s="217" t="s">
        <v>25</v>
      </c>
      <c r="S418" s="216" t="s">
        <v>85</v>
      </c>
      <c r="T418" s="222" t="s">
        <v>344</v>
      </c>
      <c r="U418" s="222"/>
      <c r="V418" s="222"/>
      <c r="W418" s="14"/>
      <c r="X418" s="14"/>
      <c r="Y418" s="14"/>
      <c r="Z418" s="14"/>
      <c r="AA418" s="14"/>
      <c r="AB418" s="14"/>
      <c r="AC418" s="14"/>
      <c r="AD418" s="14"/>
    </row>
    <row r="419" spans="1:30" ht="86.45" customHeight="1" x14ac:dyDescent="0.75">
      <c r="A419" s="216">
        <v>143</v>
      </c>
      <c r="B419" s="220" t="s">
        <v>817</v>
      </c>
      <c r="C419" s="216" t="s">
        <v>511</v>
      </c>
      <c r="D419" s="221">
        <v>170149001673</v>
      </c>
      <c r="E419" s="221"/>
      <c r="F419" s="216" t="s">
        <v>20</v>
      </c>
      <c r="G419" s="216">
        <v>2.4</v>
      </c>
      <c r="H419" s="233">
        <v>21.749769000000001</v>
      </c>
      <c r="I419" s="233">
        <f t="shared" ref="I419:I423" si="70">+H419*0.005</f>
        <v>0.10874884500000001</v>
      </c>
      <c r="J419" s="233">
        <v>0</v>
      </c>
      <c r="K419" s="233">
        <v>0</v>
      </c>
      <c r="L419" s="233">
        <f t="shared" ref="L419:L423" si="71">+H419*(8.5/100)</f>
        <v>1.8487303650000002</v>
      </c>
      <c r="M419" s="237">
        <v>0</v>
      </c>
      <c r="N419" s="233">
        <v>0</v>
      </c>
      <c r="O419" s="233">
        <f t="shared" si="68"/>
        <v>1.9574792100000002</v>
      </c>
      <c r="P419" s="233">
        <f t="shared" si="64"/>
        <v>0</v>
      </c>
      <c r="Q419" s="233">
        <f t="shared" si="65"/>
        <v>1.9574792100000002</v>
      </c>
      <c r="R419" s="217" t="s">
        <v>19</v>
      </c>
      <c r="S419" s="216" t="s">
        <v>446</v>
      </c>
      <c r="T419" s="222" t="s">
        <v>344</v>
      </c>
      <c r="U419" s="222"/>
      <c r="V419" s="222"/>
    </row>
    <row r="420" spans="1:30" s="244" customFormat="1" ht="86.45" customHeight="1" x14ac:dyDescent="0.75">
      <c r="A420" s="330">
        <v>144</v>
      </c>
      <c r="B420" s="324" t="s">
        <v>908</v>
      </c>
      <c r="C420" s="330" t="s">
        <v>511</v>
      </c>
      <c r="D420" s="347">
        <v>102696289</v>
      </c>
      <c r="E420" s="221" t="s">
        <v>1298</v>
      </c>
      <c r="F420" s="216" t="s">
        <v>20</v>
      </c>
      <c r="G420" s="216">
        <v>3</v>
      </c>
      <c r="H420" s="233">
        <f>16004709.2696605/1000000</f>
        <v>16.004709269660502</v>
      </c>
      <c r="I420" s="233">
        <f t="shared" si="70"/>
        <v>8.0023546348302513E-2</v>
      </c>
      <c r="J420" s="233">
        <v>0</v>
      </c>
      <c r="K420" s="233">
        <f>((75)*1000)/1000000</f>
        <v>7.4999999999999997E-2</v>
      </c>
      <c r="L420" s="233">
        <f t="shared" si="71"/>
        <v>1.3604002879211428</v>
      </c>
      <c r="M420" s="237">
        <v>0</v>
      </c>
      <c r="N420" s="233">
        <f>((1268)*1000)/1000000</f>
        <v>1.268</v>
      </c>
      <c r="O420" s="233">
        <f t="shared" si="68"/>
        <v>1.4404238342694453</v>
      </c>
      <c r="P420" s="233">
        <f t="shared" ref="P420:P499" si="72">+((J420+K420)+(M420+N420))</f>
        <v>1.343</v>
      </c>
      <c r="Q420" s="233">
        <f t="shared" ref="Q420:Q500" si="73">+O420-P420</f>
        <v>9.7423834269445342E-2</v>
      </c>
      <c r="R420" s="217" t="s">
        <v>406</v>
      </c>
      <c r="S420" s="216" t="s">
        <v>1054</v>
      </c>
      <c r="T420" s="243" t="s">
        <v>282</v>
      </c>
      <c r="U420" s="243" t="s">
        <v>283</v>
      </c>
      <c r="V420" s="243"/>
    </row>
    <row r="421" spans="1:30" s="244" customFormat="1" ht="86.45" customHeight="1" x14ac:dyDescent="0.75">
      <c r="A421" s="332"/>
      <c r="B421" s="326"/>
      <c r="C421" s="332"/>
      <c r="D421" s="348"/>
      <c r="E421" s="260" t="s">
        <v>1407</v>
      </c>
      <c r="F421" s="254" t="s">
        <v>20</v>
      </c>
      <c r="G421" s="254">
        <v>3</v>
      </c>
      <c r="H421" s="255">
        <v>15.0787</v>
      </c>
      <c r="I421" s="255">
        <v>7.4999999999999997E-2</v>
      </c>
      <c r="J421" s="255">
        <v>0</v>
      </c>
      <c r="K421" s="255">
        <v>7.5999999999999998E-2</v>
      </c>
      <c r="L421" s="255">
        <v>1.2809999999999999</v>
      </c>
      <c r="M421" s="256">
        <v>0</v>
      </c>
      <c r="N421" s="255">
        <v>1.282</v>
      </c>
      <c r="O421" s="255">
        <v>1.357</v>
      </c>
      <c r="P421" s="255">
        <v>1.3580000000000001</v>
      </c>
      <c r="Q421" s="255">
        <v>-8.9999999999999998E-4</v>
      </c>
      <c r="R421" s="258"/>
      <c r="S421" s="254"/>
      <c r="T421" s="243"/>
      <c r="U421" s="243"/>
      <c r="V421" s="243"/>
    </row>
    <row r="422" spans="1:30" ht="86.45" customHeight="1" x14ac:dyDescent="0.75">
      <c r="A422" s="333">
        <v>145</v>
      </c>
      <c r="B422" s="353" t="s">
        <v>818</v>
      </c>
      <c r="C422" s="333" t="s">
        <v>511</v>
      </c>
      <c r="D422" s="354">
        <v>30949002817</v>
      </c>
      <c r="E422" s="221"/>
      <c r="F422" s="216" t="s">
        <v>18</v>
      </c>
      <c r="G422" s="216">
        <v>46</v>
      </c>
      <c r="H422" s="233">
        <v>103.65337599999999</v>
      </c>
      <c r="I422" s="233">
        <f t="shared" si="70"/>
        <v>0.51826687999999999</v>
      </c>
      <c r="J422" s="233">
        <v>0</v>
      </c>
      <c r="K422" s="233">
        <f>(63+400)*1000/1000000</f>
        <v>0.46300000000000002</v>
      </c>
      <c r="L422" s="233">
        <f t="shared" si="71"/>
        <v>8.8105369600000003</v>
      </c>
      <c r="M422" s="237">
        <v>0</v>
      </c>
      <c r="N422" s="233">
        <f>+(1074+3941+2850)/1000</f>
        <v>7.8650000000000002</v>
      </c>
      <c r="O422" s="233">
        <f>+I422+L422</f>
        <v>9.3288038400000008</v>
      </c>
      <c r="P422" s="233">
        <f>+((J422+K422)+(M422+N422))</f>
        <v>8.3279999999999994</v>
      </c>
      <c r="Q422" s="233">
        <f>+O422-P422</f>
        <v>1.0008038400000014</v>
      </c>
      <c r="R422" s="217" t="s">
        <v>277</v>
      </c>
      <c r="S422" s="216" t="s">
        <v>1055</v>
      </c>
      <c r="T422" s="222" t="s">
        <v>282</v>
      </c>
      <c r="U422" s="222" t="s">
        <v>283</v>
      </c>
      <c r="V422" s="222"/>
    </row>
    <row r="423" spans="1:30" ht="86.45" customHeight="1" x14ac:dyDescent="0.75">
      <c r="A423" s="333"/>
      <c r="B423" s="353"/>
      <c r="C423" s="333"/>
      <c r="D423" s="354"/>
      <c r="E423" s="221"/>
      <c r="F423" s="216" t="s">
        <v>20</v>
      </c>
      <c r="G423" s="216">
        <v>46</v>
      </c>
      <c r="H423" s="233">
        <v>108.954404</v>
      </c>
      <c r="I423" s="233">
        <f t="shared" si="70"/>
        <v>0.54477202000000002</v>
      </c>
      <c r="J423" s="233">
        <v>0</v>
      </c>
      <c r="K423" s="233">
        <v>0.47499999999999998</v>
      </c>
      <c r="L423" s="233">
        <f t="shared" si="71"/>
        <v>9.2611243400000003</v>
      </c>
      <c r="M423" s="237">
        <v>1.31</v>
      </c>
      <c r="N423" s="233">
        <f>+(6147+610)/1000</f>
        <v>6.7569999999999997</v>
      </c>
      <c r="O423" s="233">
        <f>+I423+L423</f>
        <v>9.8058963600000002</v>
      </c>
      <c r="P423" s="233">
        <f>+((J423+K423)+(M423+N423))</f>
        <v>8.5419999999999998</v>
      </c>
      <c r="Q423" s="233">
        <f>+O423-P423</f>
        <v>1.2638963600000004</v>
      </c>
      <c r="R423" s="217" t="s">
        <v>284</v>
      </c>
      <c r="S423" s="216" t="s">
        <v>1056</v>
      </c>
      <c r="T423" s="222" t="s">
        <v>282</v>
      </c>
      <c r="U423" s="222" t="s">
        <v>283</v>
      </c>
      <c r="V423" s="222"/>
    </row>
    <row r="424" spans="1:30" ht="86.45" customHeight="1" x14ac:dyDescent="0.75">
      <c r="A424" s="333"/>
      <c r="B424" s="353"/>
      <c r="C424" s="333"/>
      <c r="D424" s="354"/>
      <c r="E424" s="221"/>
      <c r="F424" s="216" t="s">
        <v>21</v>
      </c>
      <c r="G424" s="216">
        <v>25</v>
      </c>
      <c r="H424" s="233">
        <v>87.770105999999998</v>
      </c>
      <c r="I424" s="233">
        <f>+H424*0.01</f>
        <v>0.87770106000000003</v>
      </c>
      <c r="J424" s="233">
        <v>1.026</v>
      </c>
      <c r="K424" s="233">
        <f>(0*1000)/1000000</f>
        <v>0</v>
      </c>
      <c r="L424" s="233">
        <f>+H424*(10/100)</f>
        <v>8.7770106000000006</v>
      </c>
      <c r="M424" s="237">
        <v>10.068</v>
      </c>
      <c r="N424" s="233">
        <f>(0*1000)/1000000</f>
        <v>0</v>
      </c>
      <c r="O424" s="233">
        <f t="shared" si="68"/>
        <v>9.6547116600000003</v>
      </c>
      <c r="P424" s="233">
        <f t="shared" si="72"/>
        <v>11.093999999999999</v>
      </c>
      <c r="Q424" s="233">
        <f t="shared" si="73"/>
        <v>-1.4392883399999992</v>
      </c>
      <c r="R424" s="217" t="s">
        <v>284</v>
      </c>
      <c r="S424" s="216" t="s">
        <v>1057</v>
      </c>
      <c r="T424" s="222" t="s">
        <v>282</v>
      </c>
      <c r="U424" s="222" t="s">
        <v>310</v>
      </c>
      <c r="V424" s="222"/>
    </row>
    <row r="425" spans="1:30" ht="86.45" customHeight="1" x14ac:dyDescent="0.75">
      <c r="A425" s="333"/>
      <c r="B425" s="353"/>
      <c r="C425" s="333"/>
      <c r="D425" s="354"/>
      <c r="E425" s="221"/>
      <c r="F425" s="216" t="s">
        <v>22</v>
      </c>
      <c r="G425" s="216">
        <v>25</v>
      </c>
      <c r="H425" s="233">
        <f>76586917/1000000</f>
        <v>76.586917</v>
      </c>
      <c r="I425" s="233">
        <f>+H425*0.02</f>
        <v>1.53173834</v>
      </c>
      <c r="J425" s="233">
        <f>(0*1000)/1000000</f>
        <v>0</v>
      </c>
      <c r="K425" s="233">
        <f>(1380*1000)/1000000</f>
        <v>1.38</v>
      </c>
      <c r="L425" s="233">
        <f>+H425*(10.5/100)</f>
        <v>8.0416262849999995</v>
      </c>
      <c r="M425" s="237">
        <v>6.9420000000000002</v>
      </c>
      <c r="N425" s="233">
        <f>((110+189)*1000)/1000000</f>
        <v>0.29899999999999999</v>
      </c>
      <c r="O425" s="233">
        <f t="shared" si="68"/>
        <v>9.573364625</v>
      </c>
      <c r="P425" s="233">
        <f t="shared" si="72"/>
        <v>8.6210000000000004</v>
      </c>
      <c r="Q425" s="233">
        <f t="shared" si="73"/>
        <v>0.95236462499999952</v>
      </c>
      <c r="R425" s="216" t="s">
        <v>19</v>
      </c>
      <c r="S425" s="216" t="s">
        <v>111</v>
      </c>
      <c r="T425" s="222" t="s">
        <v>282</v>
      </c>
      <c r="U425" s="222" t="s">
        <v>283</v>
      </c>
      <c r="V425" s="222"/>
      <c r="W425" s="14"/>
      <c r="X425" s="14"/>
      <c r="Y425" s="14"/>
      <c r="Z425" s="14"/>
      <c r="AA425" s="14"/>
      <c r="AB425" s="14"/>
      <c r="AC425" s="14"/>
      <c r="AD425" s="14"/>
    </row>
    <row r="426" spans="1:30" ht="86.45" customHeight="1" x14ac:dyDescent="0.75">
      <c r="A426" s="333"/>
      <c r="B426" s="353"/>
      <c r="C426" s="333"/>
      <c r="D426" s="354"/>
      <c r="E426" s="221"/>
      <c r="F426" s="216" t="s">
        <v>24</v>
      </c>
      <c r="G426" s="223">
        <v>25</v>
      </c>
      <c r="H426" s="234">
        <v>58.592920999999997</v>
      </c>
      <c r="I426" s="233">
        <f>+H426*(2.75/100)</f>
        <v>1.6113053275</v>
      </c>
      <c r="J426" s="233">
        <f>(0*1000)/1000000</f>
        <v>0</v>
      </c>
      <c r="K426" s="233">
        <f>((694+699)*1000)/1000000</f>
        <v>1.393</v>
      </c>
      <c r="L426" s="233">
        <f>+H426*(11/100)</f>
        <v>6.44522131</v>
      </c>
      <c r="M426" s="238">
        <v>12.4</v>
      </c>
      <c r="N426" s="233">
        <f>((0)*1000)/1000000</f>
        <v>0</v>
      </c>
      <c r="O426" s="233">
        <f t="shared" si="68"/>
        <v>8.0565266374999993</v>
      </c>
      <c r="P426" s="233">
        <f t="shared" si="72"/>
        <v>13.793000000000001</v>
      </c>
      <c r="Q426" s="233">
        <f t="shared" si="73"/>
        <v>-5.7364733625000017</v>
      </c>
      <c r="R426" s="217" t="s">
        <v>497</v>
      </c>
      <c r="S426" s="216" t="s">
        <v>112</v>
      </c>
      <c r="T426" s="222" t="s">
        <v>282</v>
      </c>
      <c r="U426" s="222" t="s">
        <v>310</v>
      </c>
      <c r="V426" s="222"/>
      <c r="W426" s="14"/>
      <c r="X426" s="14"/>
      <c r="Y426" s="14"/>
      <c r="Z426" s="14"/>
      <c r="AA426" s="14"/>
      <c r="AB426" s="14"/>
      <c r="AC426" s="14"/>
      <c r="AD426" s="14"/>
    </row>
    <row r="427" spans="1:30" s="244" customFormat="1" ht="86.45" customHeight="1" x14ac:dyDescent="0.75">
      <c r="A427" s="330">
        <v>146</v>
      </c>
      <c r="B427" s="324" t="s">
        <v>819</v>
      </c>
      <c r="C427" s="330" t="s">
        <v>511</v>
      </c>
      <c r="D427" s="347">
        <v>176029043730</v>
      </c>
      <c r="E427" s="347" t="s">
        <v>1298</v>
      </c>
      <c r="F427" s="216" t="s">
        <v>18</v>
      </c>
      <c r="G427" s="216">
        <v>7</v>
      </c>
      <c r="H427" s="233">
        <v>27.819164000000001</v>
      </c>
      <c r="I427" s="233">
        <f>+H427*0.005</f>
        <v>0.13909582000000001</v>
      </c>
      <c r="J427" s="233">
        <v>0</v>
      </c>
      <c r="K427" s="233">
        <v>0.19600000000000001</v>
      </c>
      <c r="L427" s="233">
        <f>+H427*(8.5/100)</f>
        <v>2.3646289400000002</v>
      </c>
      <c r="M427" s="237">
        <v>0</v>
      </c>
      <c r="N427" s="233">
        <v>2.0880000000000001</v>
      </c>
      <c r="O427" s="233">
        <f t="shared" si="68"/>
        <v>2.5037247600000003</v>
      </c>
      <c r="P427" s="233">
        <f t="shared" si="72"/>
        <v>2.2840000000000003</v>
      </c>
      <c r="Q427" s="233">
        <f t="shared" si="73"/>
        <v>0.21972476000000007</v>
      </c>
      <c r="R427" s="217" t="s">
        <v>305</v>
      </c>
      <c r="S427" s="216" t="s">
        <v>1058</v>
      </c>
      <c r="T427" s="243" t="s">
        <v>282</v>
      </c>
      <c r="U427" s="243" t="s">
        <v>283</v>
      </c>
      <c r="V427" s="243"/>
    </row>
    <row r="428" spans="1:30" s="244" customFormat="1" ht="86.45" customHeight="1" x14ac:dyDescent="0.75">
      <c r="A428" s="331"/>
      <c r="B428" s="325"/>
      <c r="C428" s="331"/>
      <c r="D428" s="349"/>
      <c r="E428" s="349"/>
      <c r="F428" s="216" t="s">
        <v>20</v>
      </c>
      <c r="G428" s="216">
        <v>7</v>
      </c>
      <c r="H428" s="233">
        <v>43.765262999999997</v>
      </c>
      <c r="I428" s="233">
        <f>+H428*0.005</f>
        <v>0.21882631499999999</v>
      </c>
      <c r="J428" s="233">
        <v>0</v>
      </c>
      <c r="K428" s="233">
        <v>0</v>
      </c>
      <c r="L428" s="233">
        <f>+H428*(8.5/100)</f>
        <v>3.7200473550000002</v>
      </c>
      <c r="M428" s="237">
        <v>0</v>
      </c>
      <c r="N428" s="233">
        <v>0</v>
      </c>
      <c r="O428" s="233">
        <f t="shared" si="68"/>
        <v>3.93887367</v>
      </c>
      <c r="P428" s="233">
        <f t="shared" si="72"/>
        <v>0</v>
      </c>
      <c r="Q428" s="233">
        <f t="shared" si="73"/>
        <v>3.93887367</v>
      </c>
      <c r="R428" s="217" t="s">
        <v>19</v>
      </c>
      <c r="S428" s="216" t="s">
        <v>446</v>
      </c>
      <c r="T428" s="243" t="s">
        <v>344</v>
      </c>
      <c r="U428" s="243"/>
      <c r="V428" s="243"/>
    </row>
    <row r="429" spans="1:30" s="244" customFormat="1" ht="86.45" customHeight="1" x14ac:dyDescent="0.75">
      <c r="A429" s="331"/>
      <c r="B429" s="325"/>
      <c r="C429" s="331"/>
      <c r="D429" s="349"/>
      <c r="E429" s="349"/>
      <c r="F429" s="247" t="s">
        <v>21</v>
      </c>
      <c r="G429" s="216">
        <v>7</v>
      </c>
      <c r="H429" s="233">
        <v>33.936732999999997</v>
      </c>
      <c r="I429" s="233">
        <f>+H429*0.01</f>
        <v>0.33936732999999997</v>
      </c>
      <c r="J429" s="233">
        <v>0</v>
      </c>
      <c r="K429" s="233">
        <v>0</v>
      </c>
      <c r="L429" s="233">
        <f>+H429*(10/100)</f>
        <v>3.3936732999999997</v>
      </c>
      <c r="M429" s="237">
        <v>0</v>
      </c>
      <c r="N429" s="233">
        <v>0</v>
      </c>
      <c r="O429" s="233">
        <f t="shared" si="68"/>
        <v>3.7330406299999996</v>
      </c>
      <c r="P429" s="233">
        <f t="shared" si="72"/>
        <v>0</v>
      </c>
      <c r="Q429" s="233">
        <f t="shared" si="73"/>
        <v>3.7330406299999996</v>
      </c>
      <c r="R429" s="217" t="s">
        <v>284</v>
      </c>
      <c r="S429" s="216" t="s">
        <v>477</v>
      </c>
      <c r="T429" s="243" t="s">
        <v>282</v>
      </c>
      <c r="U429" s="243" t="s">
        <v>283</v>
      </c>
      <c r="V429" s="243"/>
    </row>
    <row r="430" spans="1:30" s="244" customFormat="1" ht="86.45" customHeight="1" x14ac:dyDescent="0.75">
      <c r="A430" s="331"/>
      <c r="B430" s="325"/>
      <c r="C430" s="331"/>
      <c r="D430" s="349"/>
      <c r="E430" s="349"/>
      <c r="F430" s="247" t="s">
        <v>22</v>
      </c>
      <c r="G430" s="216">
        <v>7</v>
      </c>
      <c r="H430" s="233">
        <f>27066253/1000000</f>
        <v>27.066253</v>
      </c>
      <c r="I430" s="233">
        <f>+H430*0.02</f>
        <v>0.54132506000000002</v>
      </c>
      <c r="J430" s="234">
        <v>0</v>
      </c>
      <c r="K430" s="233">
        <f>(131*1000)/1000000</f>
        <v>0.13100000000000001</v>
      </c>
      <c r="L430" s="233">
        <f>+H430*(10.5/100)</f>
        <v>2.8419565649999998</v>
      </c>
      <c r="M430" s="237">
        <f>(0.2316+0.4546+0.6045+0.4833+0.2223+0.1108+0.1863+0.2722+0.1604+0.227+0.181)</f>
        <v>3.1339999999999999</v>
      </c>
      <c r="N430" s="233">
        <f>(0*1000)/1000000</f>
        <v>0</v>
      </c>
      <c r="O430" s="233">
        <f>+I430+L430</f>
        <v>3.383281625</v>
      </c>
      <c r="P430" s="233">
        <f>+((J430+K430)+(M430+N430))</f>
        <v>3.2649999999999997</v>
      </c>
      <c r="Q430" s="233">
        <f>+O430-P430</f>
        <v>0.11828162500000028</v>
      </c>
      <c r="R430" s="216" t="s">
        <v>19</v>
      </c>
      <c r="S430" s="216" t="s">
        <v>113</v>
      </c>
      <c r="T430" s="243" t="s">
        <v>282</v>
      </c>
      <c r="U430" s="243" t="s">
        <v>283</v>
      </c>
      <c r="V430" s="243"/>
      <c r="W430" s="245"/>
      <c r="X430" s="245"/>
      <c r="Y430" s="245"/>
      <c r="Z430" s="245"/>
      <c r="AA430" s="245"/>
      <c r="AB430" s="245"/>
      <c r="AC430" s="245"/>
      <c r="AD430" s="245"/>
    </row>
    <row r="431" spans="1:30" s="244" customFormat="1" ht="86.45" customHeight="1" x14ac:dyDescent="0.75">
      <c r="A431" s="331"/>
      <c r="B431" s="325"/>
      <c r="C431" s="331"/>
      <c r="D431" s="349"/>
      <c r="E431" s="348"/>
      <c r="F431" s="216" t="s">
        <v>24</v>
      </c>
      <c r="G431" s="216">
        <v>7</v>
      </c>
      <c r="H431" s="233">
        <v>21.338286</v>
      </c>
      <c r="I431" s="233">
        <f>+H431*(2.75/100)</f>
        <v>0.58680286500000001</v>
      </c>
      <c r="J431" s="234">
        <v>0</v>
      </c>
      <c r="K431" s="234">
        <f>(0*1000)/1000000</f>
        <v>0</v>
      </c>
      <c r="L431" s="233">
        <f>+H431*(11/100)</f>
        <v>2.34721146</v>
      </c>
      <c r="M431" s="237">
        <v>4.2610999999999999</v>
      </c>
      <c r="N431" s="234">
        <f>(0*1000)/1000000</f>
        <v>0</v>
      </c>
      <c r="O431" s="233">
        <f t="shared" si="68"/>
        <v>2.9340143250000001</v>
      </c>
      <c r="P431" s="233">
        <f t="shared" si="72"/>
        <v>4.2610999999999999</v>
      </c>
      <c r="Q431" s="233">
        <f t="shared" si="73"/>
        <v>-1.3270856749999997</v>
      </c>
      <c r="R431" s="217" t="s">
        <v>496</v>
      </c>
      <c r="S431" s="216" t="s">
        <v>114</v>
      </c>
      <c r="T431" s="243" t="s">
        <v>282</v>
      </c>
      <c r="U431" s="243" t="s">
        <v>310</v>
      </c>
      <c r="V431" s="243"/>
      <c r="W431" s="245"/>
      <c r="X431" s="245"/>
      <c r="Y431" s="245"/>
      <c r="Z431" s="245"/>
      <c r="AA431" s="245"/>
      <c r="AB431" s="245"/>
      <c r="AC431" s="245"/>
      <c r="AD431" s="245"/>
    </row>
    <row r="432" spans="1:30" s="244" customFormat="1" ht="86.45" customHeight="1" x14ac:dyDescent="0.75">
      <c r="A432" s="331"/>
      <c r="B432" s="325"/>
      <c r="C432" s="331"/>
      <c r="D432" s="349"/>
      <c r="E432" s="364" t="s">
        <v>1307</v>
      </c>
      <c r="F432" s="254" t="s">
        <v>18</v>
      </c>
      <c r="G432" s="254"/>
      <c r="H432" s="388" t="s">
        <v>1411</v>
      </c>
      <c r="I432" s="388"/>
      <c r="J432" s="388"/>
      <c r="K432" s="388"/>
      <c r="L432" s="388"/>
      <c r="M432" s="388"/>
      <c r="N432" s="388"/>
      <c r="O432" s="388"/>
      <c r="P432" s="388"/>
      <c r="Q432" s="388"/>
      <c r="R432" s="388"/>
      <c r="S432" s="388"/>
      <c r="T432" s="243"/>
      <c r="U432" s="243"/>
      <c r="V432" s="243"/>
      <c r="W432" s="245"/>
      <c r="X432" s="245"/>
      <c r="Y432" s="245"/>
      <c r="Z432" s="245"/>
      <c r="AA432" s="245"/>
      <c r="AB432" s="245"/>
      <c r="AC432" s="245"/>
      <c r="AD432" s="245"/>
    </row>
    <row r="433" spans="1:30" s="244" customFormat="1" ht="86.45" customHeight="1" x14ac:dyDescent="0.75">
      <c r="A433" s="331"/>
      <c r="B433" s="325"/>
      <c r="C433" s="331"/>
      <c r="D433" s="349"/>
      <c r="E433" s="364"/>
      <c r="F433" s="254" t="s">
        <v>20</v>
      </c>
      <c r="G433" s="254"/>
      <c r="H433" s="388"/>
      <c r="I433" s="388"/>
      <c r="J433" s="388"/>
      <c r="K433" s="388"/>
      <c r="L433" s="388"/>
      <c r="M433" s="388"/>
      <c r="N433" s="388"/>
      <c r="O433" s="388"/>
      <c r="P433" s="388"/>
      <c r="Q433" s="388"/>
      <c r="R433" s="388"/>
      <c r="S433" s="388"/>
      <c r="T433" s="243"/>
      <c r="U433" s="243"/>
      <c r="V433" s="243"/>
      <c r="W433" s="245"/>
      <c r="X433" s="245"/>
      <c r="Y433" s="245"/>
      <c r="Z433" s="245"/>
      <c r="AA433" s="245"/>
      <c r="AB433" s="245"/>
      <c r="AC433" s="245"/>
      <c r="AD433" s="245"/>
    </row>
    <row r="434" spans="1:30" s="244" customFormat="1" ht="86.45" customHeight="1" x14ac:dyDescent="0.75">
      <c r="A434" s="331"/>
      <c r="B434" s="325"/>
      <c r="C434" s="331"/>
      <c r="D434" s="349"/>
      <c r="E434" s="364"/>
      <c r="F434" s="254" t="s">
        <v>21</v>
      </c>
      <c r="G434" s="254">
        <v>7</v>
      </c>
      <c r="H434" s="255">
        <v>32.609499999999997</v>
      </c>
      <c r="I434" s="255">
        <v>0.3261</v>
      </c>
      <c r="J434" s="255">
        <v>0.34799999999999998</v>
      </c>
      <c r="K434" s="255">
        <v>0</v>
      </c>
      <c r="L434" s="255">
        <v>3.2608999999999999</v>
      </c>
      <c r="M434" s="256">
        <v>0</v>
      </c>
      <c r="N434" s="255">
        <v>0</v>
      </c>
      <c r="O434" s="255">
        <v>3.5870000000000002</v>
      </c>
      <c r="P434" s="255">
        <f>+((J434+K434)+(M434+N434))</f>
        <v>0.34799999999999998</v>
      </c>
      <c r="Q434" s="255">
        <f>+O434-P434</f>
        <v>3.2390000000000003</v>
      </c>
      <c r="R434" s="258"/>
      <c r="S434" s="254"/>
      <c r="T434" s="243"/>
      <c r="U434" s="243"/>
      <c r="V434" s="243"/>
      <c r="W434" s="245"/>
      <c r="X434" s="245"/>
      <c r="Y434" s="245"/>
      <c r="Z434" s="245"/>
      <c r="AA434" s="245"/>
      <c r="AB434" s="245"/>
      <c r="AC434" s="245"/>
      <c r="AD434" s="245"/>
    </row>
    <row r="435" spans="1:30" s="244" customFormat="1" ht="86.45" customHeight="1" x14ac:dyDescent="0.75">
      <c r="A435" s="331"/>
      <c r="B435" s="325"/>
      <c r="C435" s="331"/>
      <c r="D435" s="349"/>
      <c r="E435" s="364"/>
      <c r="F435" s="254" t="s">
        <v>22</v>
      </c>
      <c r="G435" s="254">
        <v>7</v>
      </c>
      <c r="H435" s="255">
        <v>25.9252</v>
      </c>
      <c r="I435" s="255">
        <v>0.51849999999999996</v>
      </c>
      <c r="J435" s="266">
        <v>0.38800000000000001</v>
      </c>
      <c r="K435" s="255">
        <v>0.13100000000000001</v>
      </c>
      <c r="L435" s="255">
        <v>2.7221000000000002</v>
      </c>
      <c r="M435" s="256">
        <v>3.1339999999999999</v>
      </c>
      <c r="N435" s="255">
        <v>0</v>
      </c>
      <c r="O435" s="255">
        <v>3.2406000000000001</v>
      </c>
      <c r="P435" s="255">
        <v>3.653</v>
      </c>
      <c r="Q435" s="255">
        <f>+O435-P435</f>
        <v>-0.41239999999999988</v>
      </c>
      <c r="R435" s="254"/>
      <c r="S435" s="254"/>
      <c r="T435" s="243"/>
      <c r="U435" s="243"/>
      <c r="V435" s="243"/>
      <c r="W435" s="245"/>
      <c r="X435" s="245"/>
      <c r="Y435" s="245"/>
      <c r="Z435" s="245"/>
      <c r="AA435" s="245"/>
      <c r="AB435" s="245"/>
      <c r="AC435" s="245"/>
      <c r="AD435" s="245"/>
    </row>
    <row r="436" spans="1:30" s="244" customFormat="1" ht="86.45" customHeight="1" x14ac:dyDescent="0.75">
      <c r="A436" s="332"/>
      <c r="B436" s="326"/>
      <c r="C436" s="332"/>
      <c r="D436" s="348"/>
      <c r="E436" s="364"/>
      <c r="F436" s="254" t="s">
        <v>24</v>
      </c>
      <c r="G436" s="254">
        <v>7</v>
      </c>
      <c r="H436" s="255">
        <v>20.5396</v>
      </c>
      <c r="I436" s="255">
        <v>0.56479999999999997</v>
      </c>
      <c r="J436" s="266">
        <v>0.6482</v>
      </c>
      <c r="K436" s="266">
        <v>0</v>
      </c>
      <c r="L436" s="255">
        <v>2.2591999999999999</v>
      </c>
      <c r="M436" s="256">
        <v>4.2610999999999999</v>
      </c>
      <c r="N436" s="266">
        <v>0</v>
      </c>
      <c r="O436" s="255">
        <v>2.8241999999999998</v>
      </c>
      <c r="P436" s="255">
        <v>4.9093</v>
      </c>
      <c r="Q436" s="255">
        <f t="shared" si="73"/>
        <v>-2.0851000000000002</v>
      </c>
      <c r="R436" s="258"/>
      <c r="S436" s="254"/>
      <c r="T436" s="243"/>
      <c r="U436" s="243"/>
      <c r="V436" s="243"/>
      <c r="W436" s="245"/>
      <c r="X436" s="245"/>
      <c r="Y436" s="245"/>
      <c r="Z436" s="245"/>
      <c r="AA436" s="245"/>
      <c r="AB436" s="245"/>
      <c r="AC436" s="245"/>
      <c r="AD436" s="245"/>
    </row>
    <row r="437" spans="1:30" ht="86.45" customHeight="1" x14ac:dyDescent="0.75">
      <c r="A437" s="333">
        <v>147</v>
      </c>
      <c r="B437" s="353" t="s">
        <v>909</v>
      </c>
      <c r="C437" s="333" t="s">
        <v>515</v>
      </c>
      <c r="D437" s="354">
        <v>150630971</v>
      </c>
      <c r="E437" s="221"/>
      <c r="F437" s="216" t="s">
        <v>18</v>
      </c>
      <c r="G437" s="216">
        <v>4</v>
      </c>
      <c r="H437" s="233">
        <f>4004318.70672602/1000000</f>
        <v>4.0043187067260204</v>
      </c>
      <c r="I437" s="233">
        <f t="shared" ref="I437:I455" si="74">+H437*0.005</f>
        <v>2.0021593533630103E-2</v>
      </c>
      <c r="J437" s="233">
        <v>0</v>
      </c>
      <c r="K437" s="233">
        <v>0</v>
      </c>
      <c r="L437" s="233">
        <f t="shared" ref="L437:L455" si="75">+H437*(8.5/100)</f>
        <v>0.34036709007171179</v>
      </c>
      <c r="M437" s="237">
        <v>0</v>
      </c>
      <c r="N437" s="233">
        <v>0</v>
      </c>
      <c r="O437" s="233">
        <f t="shared" si="68"/>
        <v>0.36038868360534188</v>
      </c>
      <c r="P437" s="233">
        <f t="shared" si="72"/>
        <v>0</v>
      </c>
      <c r="Q437" s="233">
        <f t="shared" si="73"/>
        <v>0.36038868360534188</v>
      </c>
      <c r="R437" s="217" t="s">
        <v>948</v>
      </c>
      <c r="S437" s="216" t="s">
        <v>345</v>
      </c>
      <c r="T437" s="222" t="s">
        <v>344</v>
      </c>
      <c r="U437" s="222"/>
      <c r="V437" s="222"/>
    </row>
    <row r="438" spans="1:30" ht="86.45" customHeight="1" x14ac:dyDescent="0.75">
      <c r="A438" s="333"/>
      <c r="B438" s="353"/>
      <c r="C438" s="333"/>
      <c r="D438" s="354"/>
      <c r="E438" s="221"/>
      <c r="F438" s="216" t="s">
        <v>20</v>
      </c>
      <c r="G438" s="216">
        <v>2</v>
      </c>
      <c r="H438" s="233">
        <f>12177264.2605919/1000000</f>
        <v>12.177264260591899</v>
      </c>
      <c r="I438" s="233">
        <f t="shared" si="74"/>
        <v>6.0886321302959498E-2</v>
      </c>
      <c r="J438" s="233">
        <v>0</v>
      </c>
      <c r="K438" s="233">
        <v>0</v>
      </c>
      <c r="L438" s="233">
        <f t="shared" si="75"/>
        <v>1.0350674621503115</v>
      </c>
      <c r="M438" s="237">
        <v>0</v>
      </c>
      <c r="N438" s="233">
        <v>0</v>
      </c>
      <c r="O438" s="233">
        <f t="shared" si="68"/>
        <v>1.0959537834532711</v>
      </c>
      <c r="P438" s="233">
        <f t="shared" si="72"/>
        <v>0</v>
      </c>
      <c r="Q438" s="233">
        <f t="shared" si="73"/>
        <v>1.0959537834532711</v>
      </c>
      <c r="R438" s="217" t="s">
        <v>30</v>
      </c>
      <c r="S438" s="216" t="s">
        <v>444</v>
      </c>
      <c r="T438" s="222" t="s">
        <v>344</v>
      </c>
      <c r="U438" s="222"/>
      <c r="V438" s="222"/>
    </row>
    <row r="439" spans="1:30" ht="86.45" customHeight="1" x14ac:dyDescent="0.75">
      <c r="A439" s="333">
        <v>148</v>
      </c>
      <c r="B439" s="353" t="s">
        <v>820</v>
      </c>
      <c r="C439" s="333" t="s">
        <v>511</v>
      </c>
      <c r="D439" s="354">
        <v>430019004290</v>
      </c>
      <c r="E439" s="221"/>
      <c r="F439" s="216" t="s">
        <v>18</v>
      </c>
      <c r="G439" s="216">
        <v>2.5</v>
      </c>
      <c r="H439" s="233">
        <v>9.3167679999999997</v>
      </c>
      <c r="I439" s="233">
        <f>+H439*0.005</f>
        <v>4.6583840000000001E-2</v>
      </c>
      <c r="J439" s="233">
        <v>0</v>
      </c>
      <c r="K439" s="233">
        <v>0</v>
      </c>
      <c r="L439" s="233">
        <f>+H439*(8.5/100)</f>
        <v>0.79192528000000006</v>
      </c>
      <c r="M439" s="237">
        <v>0</v>
      </c>
      <c r="N439" s="233">
        <v>0</v>
      </c>
      <c r="O439" s="233">
        <f>+I439+L439</f>
        <v>0.83850912000000011</v>
      </c>
      <c r="P439" s="233">
        <f>+((J439+K439)+(M439+N439))</f>
        <v>0</v>
      </c>
      <c r="Q439" s="233">
        <f>+O439-P439</f>
        <v>0.83850912000000011</v>
      </c>
      <c r="R439" s="217" t="s">
        <v>19</v>
      </c>
      <c r="S439" s="216" t="s">
        <v>346</v>
      </c>
      <c r="T439" s="222" t="s">
        <v>344</v>
      </c>
      <c r="U439" s="222"/>
      <c r="V439" s="222"/>
    </row>
    <row r="440" spans="1:30" ht="86.45" customHeight="1" x14ac:dyDescent="0.75">
      <c r="A440" s="333"/>
      <c r="B440" s="353"/>
      <c r="C440" s="333"/>
      <c r="D440" s="354"/>
      <c r="E440" s="221"/>
      <c r="F440" s="216" t="s">
        <v>20</v>
      </c>
      <c r="G440" s="216">
        <v>2.8</v>
      </c>
      <c r="H440" s="233">
        <v>17.567267000000001</v>
      </c>
      <c r="I440" s="233">
        <f t="shared" si="74"/>
        <v>8.7836335000000001E-2</v>
      </c>
      <c r="J440" s="233">
        <v>0</v>
      </c>
      <c r="K440" s="233">
        <f>(5+15+20+20+15+7)*1000/1000000</f>
        <v>8.2000000000000003E-2</v>
      </c>
      <c r="L440" s="233">
        <f t="shared" si="75"/>
        <v>1.4932176950000002</v>
      </c>
      <c r="M440" s="237">
        <v>0</v>
      </c>
      <c r="N440" s="233">
        <f>(97+300+200+400+306+103)*1000/1000000</f>
        <v>1.4059999999999999</v>
      </c>
      <c r="O440" s="233">
        <f t="shared" si="68"/>
        <v>1.5810540300000002</v>
      </c>
      <c r="P440" s="233">
        <f t="shared" si="72"/>
        <v>1.488</v>
      </c>
      <c r="Q440" s="233">
        <f t="shared" si="73"/>
        <v>9.3054030000000232E-2</v>
      </c>
      <c r="R440" s="217" t="s">
        <v>284</v>
      </c>
      <c r="S440" s="216" t="s">
        <v>1059</v>
      </c>
      <c r="T440" s="222" t="s">
        <v>282</v>
      </c>
      <c r="U440" s="222" t="s">
        <v>283</v>
      </c>
      <c r="V440" s="222"/>
    </row>
    <row r="441" spans="1:30" ht="86.45" customHeight="1" x14ac:dyDescent="0.75">
      <c r="A441" s="216">
        <v>149</v>
      </c>
      <c r="B441" s="220" t="s">
        <v>821</v>
      </c>
      <c r="C441" s="216" t="s">
        <v>511</v>
      </c>
      <c r="D441" s="221">
        <v>178519036650</v>
      </c>
      <c r="E441" s="221"/>
      <c r="F441" s="216" t="s">
        <v>20</v>
      </c>
      <c r="G441" s="216">
        <v>7</v>
      </c>
      <c r="H441" s="233">
        <v>1.8184899999999999</v>
      </c>
      <c r="I441" s="233">
        <f t="shared" si="74"/>
        <v>9.0924500000000002E-3</v>
      </c>
      <c r="J441" s="233">
        <v>7.6799999999999993E-2</v>
      </c>
      <c r="K441" s="233">
        <v>0</v>
      </c>
      <c r="L441" s="233">
        <f t="shared" si="75"/>
        <v>0.15457165</v>
      </c>
      <c r="M441" s="237">
        <v>0.29830000000000001</v>
      </c>
      <c r="N441" s="233">
        <v>0</v>
      </c>
      <c r="O441" s="233">
        <f t="shared" si="68"/>
        <v>0.16366410000000001</v>
      </c>
      <c r="P441" s="233">
        <f t="shared" si="72"/>
        <v>0.37509999999999999</v>
      </c>
      <c r="Q441" s="233">
        <f t="shared" si="73"/>
        <v>-0.21143589999999998</v>
      </c>
      <c r="R441" s="217" t="s">
        <v>284</v>
      </c>
      <c r="S441" s="216" t="s">
        <v>966</v>
      </c>
      <c r="T441" s="222" t="s">
        <v>282</v>
      </c>
      <c r="U441" s="222" t="s">
        <v>310</v>
      </c>
      <c r="V441" s="222"/>
    </row>
    <row r="442" spans="1:30" ht="86.45" customHeight="1" x14ac:dyDescent="0.75">
      <c r="A442" s="216">
        <v>150</v>
      </c>
      <c r="B442" s="220" t="s">
        <v>822</v>
      </c>
      <c r="C442" s="216" t="s">
        <v>511</v>
      </c>
      <c r="D442" s="221">
        <v>57559010342</v>
      </c>
      <c r="E442" s="221"/>
      <c r="F442" s="216" t="s">
        <v>20</v>
      </c>
      <c r="G442" s="216">
        <v>1</v>
      </c>
      <c r="H442" s="233">
        <v>0.85560000000000003</v>
      </c>
      <c r="I442" s="233">
        <f t="shared" si="74"/>
        <v>4.2780000000000006E-3</v>
      </c>
      <c r="J442" s="233">
        <v>0</v>
      </c>
      <c r="K442" s="233">
        <v>5.0000000000000001E-3</v>
      </c>
      <c r="L442" s="233">
        <f t="shared" si="75"/>
        <v>7.2726000000000013E-2</v>
      </c>
      <c r="M442" s="237">
        <v>0</v>
      </c>
      <c r="N442" s="233">
        <v>7.2999999999999995E-2</v>
      </c>
      <c r="O442" s="233">
        <f t="shared" si="68"/>
        <v>7.7004000000000017E-2</v>
      </c>
      <c r="P442" s="233">
        <f t="shared" si="72"/>
        <v>7.8E-2</v>
      </c>
      <c r="Q442" s="233">
        <f t="shared" si="73"/>
        <v>-9.9599999999998301E-4</v>
      </c>
      <c r="R442" s="217" t="s">
        <v>284</v>
      </c>
      <c r="S442" s="216" t="s">
        <v>1060</v>
      </c>
      <c r="T442" s="222" t="s">
        <v>282</v>
      </c>
      <c r="U442" s="222" t="s">
        <v>310</v>
      </c>
      <c r="V442" s="222"/>
    </row>
    <row r="443" spans="1:30" ht="86.45" customHeight="1" x14ac:dyDescent="0.75">
      <c r="A443" s="216">
        <v>151</v>
      </c>
      <c r="B443" s="220" t="s">
        <v>911</v>
      </c>
      <c r="C443" s="216" t="s">
        <v>648</v>
      </c>
      <c r="D443" s="221">
        <v>900000784502</v>
      </c>
      <c r="E443" s="221"/>
      <c r="F443" s="216" t="s">
        <v>20</v>
      </c>
      <c r="G443" s="216">
        <v>4.8230000000000004</v>
      </c>
      <c r="H443" s="233">
        <v>8.552225</v>
      </c>
      <c r="I443" s="233">
        <f t="shared" si="74"/>
        <v>4.2761125000000004E-2</v>
      </c>
      <c r="J443" s="233">
        <v>0</v>
      </c>
      <c r="K443" s="233">
        <f>(43*1000/1000000)</f>
        <v>4.2999999999999997E-2</v>
      </c>
      <c r="L443" s="233">
        <f t="shared" si="75"/>
        <v>0.72693912500000002</v>
      </c>
      <c r="M443" s="237">
        <v>0</v>
      </c>
      <c r="N443" s="233">
        <f>(730*1000/1000000)</f>
        <v>0.73</v>
      </c>
      <c r="O443" s="233">
        <f t="shared" si="68"/>
        <v>0.76970024999999997</v>
      </c>
      <c r="P443" s="233">
        <f t="shared" si="72"/>
        <v>0.77300000000000002</v>
      </c>
      <c r="Q443" s="233">
        <f t="shared" si="73"/>
        <v>-3.2997500000000457E-3</v>
      </c>
      <c r="R443" s="217" t="s">
        <v>372</v>
      </c>
      <c r="S443" s="216" t="s">
        <v>1061</v>
      </c>
      <c r="T443" s="222" t="s">
        <v>282</v>
      </c>
      <c r="U443" s="222" t="s">
        <v>310</v>
      </c>
      <c r="V443" s="222"/>
    </row>
    <row r="444" spans="1:30" ht="86.45" customHeight="1" x14ac:dyDescent="0.75">
      <c r="A444" s="216">
        <v>152</v>
      </c>
      <c r="B444" s="220" t="s">
        <v>912</v>
      </c>
      <c r="C444" s="216" t="s">
        <v>648</v>
      </c>
      <c r="D444" s="221">
        <v>900000784521</v>
      </c>
      <c r="E444" s="221"/>
      <c r="F444" s="216" t="s">
        <v>20</v>
      </c>
      <c r="G444" s="216">
        <v>4.8380000000000001</v>
      </c>
      <c r="H444" s="233">
        <v>9.5890179999999994</v>
      </c>
      <c r="I444" s="233">
        <f t="shared" si="74"/>
        <v>4.7945089999999996E-2</v>
      </c>
      <c r="J444" s="233">
        <v>0</v>
      </c>
      <c r="K444" s="233">
        <f>(48*1000/1000000)</f>
        <v>4.8000000000000001E-2</v>
      </c>
      <c r="L444" s="233">
        <f t="shared" si="75"/>
        <v>0.81506652999999996</v>
      </c>
      <c r="M444" s="237">
        <v>0</v>
      </c>
      <c r="N444" s="233">
        <f>(816*1000/1000000)</f>
        <v>0.81599999999999995</v>
      </c>
      <c r="O444" s="233">
        <f t="shared" si="68"/>
        <v>0.86301161999999998</v>
      </c>
      <c r="P444" s="233">
        <f t="shared" si="72"/>
        <v>0.86399999999999999</v>
      </c>
      <c r="Q444" s="233">
        <f t="shared" si="73"/>
        <v>-9.8838000000001092E-4</v>
      </c>
      <c r="R444" s="217" t="s">
        <v>372</v>
      </c>
      <c r="S444" s="216" t="s">
        <v>1061</v>
      </c>
      <c r="T444" s="222" t="s">
        <v>282</v>
      </c>
      <c r="U444" s="222" t="s">
        <v>310</v>
      </c>
      <c r="V444" s="222"/>
    </row>
    <row r="445" spans="1:30" ht="86.45" customHeight="1" x14ac:dyDescent="0.75">
      <c r="A445" s="216">
        <v>153</v>
      </c>
      <c r="B445" s="220" t="s">
        <v>913</v>
      </c>
      <c r="C445" s="216" t="s">
        <v>648</v>
      </c>
      <c r="D445" s="221">
        <v>900000784496</v>
      </c>
      <c r="E445" s="221"/>
      <c r="F445" s="216" t="s">
        <v>20</v>
      </c>
      <c r="G445" s="216">
        <v>3.45</v>
      </c>
      <c r="H445" s="233">
        <v>3.8264019999999999</v>
      </c>
      <c r="I445" s="233">
        <f t="shared" si="74"/>
        <v>1.9132010000000001E-2</v>
      </c>
      <c r="J445" s="233">
        <v>0</v>
      </c>
      <c r="K445" s="233">
        <f>(20*1000/1000000)</f>
        <v>0.02</v>
      </c>
      <c r="L445" s="233">
        <f t="shared" si="75"/>
        <v>0.32524417</v>
      </c>
      <c r="M445" s="237">
        <v>0</v>
      </c>
      <c r="N445" s="233">
        <f>(326*1000/1000000)</f>
        <v>0.32600000000000001</v>
      </c>
      <c r="O445" s="233">
        <f t="shared" si="68"/>
        <v>0.34437617999999998</v>
      </c>
      <c r="P445" s="233">
        <f t="shared" si="72"/>
        <v>0.34600000000000003</v>
      </c>
      <c r="Q445" s="233">
        <f t="shared" si="73"/>
        <v>-1.6238200000000536E-3</v>
      </c>
      <c r="R445" s="217" t="s">
        <v>372</v>
      </c>
      <c r="S445" s="216" t="s">
        <v>1061</v>
      </c>
      <c r="T445" s="222" t="s">
        <v>282</v>
      </c>
      <c r="U445" s="222" t="s">
        <v>310</v>
      </c>
      <c r="V445" s="222"/>
    </row>
    <row r="446" spans="1:30" ht="86.45" customHeight="1" x14ac:dyDescent="0.75">
      <c r="A446" s="216">
        <v>154</v>
      </c>
      <c r="B446" s="220" t="s">
        <v>914</v>
      </c>
      <c r="C446" s="216" t="s">
        <v>648</v>
      </c>
      <c r="D446" s="221">
        <v>900000784514</v>
      </c>
      <c r="E446" s="221"/>
      <c r="F446" s="216" t="s">
        <v>20</v>
      </c>
      <c r="G446" s="216">
        <v>3.3029999999999999</v>
      </c>
      <c r="H446" s="233">
        <v>3.8249919999999999</v>
      </c>
      <c r="I446" s="233">
        <f t="shared" si="74"/>
        <v>1.912496E-2</v>
      </c>
      <c r="J446" s="233">
        <v>0</v>
      </c>
      <c r="K446" s="233">
        <f>(20*1000/1000000)</f>
        <v>0.02</v>
      </c>
      <c r="L446" s="233">
        <f t="shared" si="75"/>
        <v>0.32512432000000002</v>
      </c>
      <c r="M446" s="237">
        <v>0</v>
      </c>
      <c r="N446" s="233">
        <f>(326*1000/1000000)</f>
        <v>0.32600000000000001</v>
      </c>
      <c r="O446" s="233">
        <f t="shared" si="68"/>
        <v>0.34424928000000005</v>
      </c>
      <c r="P446" s="233">
        <f t="shared" si="72"/>
        <v>0.34600000000000003</v>
      </c>
      <c r="Q446" s="233">
        <f t="shared" si="73"/>
        <v>-1.7507199999999834E-3</v>
      </c>
      <c r="R446" s="217" t="s">
        <v>46</v>
      </c>
      <c r="S446" s="216" t="s">
        <v>1062</v>
      </c>
      <c r="T446" s="222" t="s">
        <v>282</v>
      </c>
      <c r="U446" s="222" t="s">
        <v>310</v>
      </c>
      <c r="V446" s="222"/>
    </row>
    <row r="447" spans="1:30" ht="86.45" customHeight="1" x14ac:dyDescent="0.75">
      <c r="A447" s="216">
        <v>155</v>
      </c>
      <c r="B447" s="220" t="s">
        <v>915</v>
      </c>
      <c r="C447" s="216" t="s">
        <v>648</v>
      </c>
      <c r="D447" s="221">
        <v>900000784508</v>
      </c>
      <c r="E447" s="221"/>
      <c r="F447" s="216" t="s">
        <v>20</v>
      </c>
      <c r="G447" s="216">
        <v>3.26</v>
      </c>
      <c r="H447" s="233">
        <v>3.8262879999999999</v>
      </c>
      <c r="I447" s="233">
        <f t="shared" si="74"/>
        <v>1.913144E-2</v>
      </c>
      <c r="J447" s="233">
        <v>0</v>
      </c>
      <c r="K447" s="233">
        <f>(20*1000/1000000)</f>
        <v>0.02</v>
      </c>
      <c r="L447" s="233">
        <f t="shared" si="75"/>
        <v>0.32523447999999999</v>
      </c>
      <c r="M447" s="237">
        <v>0</v>
      </c>
      <c r="N447" s="233">
        <f>(326*1000/1000000)</f>
        <v>0.32600000000000001</v>
      </c>
      <c r="O447" s="233">
        <f t="shared" si="68"/>
        <v>0.34436591999999999</v>
      </c>
      <c r="P447" s="233">
        <f t="shared" si="72"/>
        <v>0.34600000000000003</v>
      </c>
      <c r="Q447" s="233">
        <f t="shared" si="73"/>
        <v>-1.6340800000000377E-3</v>
      </c>
      <c r="R447" s="217" t="s">
        <v>46</v>
      </c>
      <c r="S447" s="216" t="s">
        <v>1062</v>
      </c>
      <c r="T447" s="222" t="s">
        <v>282</v>
      </c>
      <c r="U447" s="222" t="s">
        <v>310</v>
      </c>
      <c r="V447" s="222"/>
    </row>
    <row r="448" spans="1:30" ht="86.45" customHeight="1" x14ac:dyDescent="0.75">
      <c r="A448" s="216">
        <v>156</v>
      </c>
      <c r="B448" s="220" t="s">
        <v>916</v>
      </c>
      <c r="C448" s="216" t="s">
        <v>648</v>
      </c>
      <c r="D448" s="221">
        <v>900000784491</v>
      </c>
      <c r="E448" s="221"/>
      <c r="F448" s="216" t="s">
        <v>20</v>
      </c>
      <c r="G448" s="216">
        <v>3.8170000000000002</v>
      </c>
      <c r="H448" s="233">
        <v>3.826238</v>
      </c>
      <c r="I448" s="233">
        <f t="shared" si="74"/>
        <v>1.9131189999999999E-2</v>
      </c>
      <c r="J448" s="233">
        <v>0</v>
      </c>
      <c r="K448" s="233">
        <f>(20*1000/1000000)</f>
        <v>0.02</v>
      </c>
      <c r="L448" s="233">
        <f t="shared" si="75"/>
        <v>0.32523023000000001</v>
      </c>
      <c r="M448" s="237">
        <v>0</v>
      </c>
      <c r="N448" s="233">
        <f>(326*1000/1000000)</f>
        <v>0.32600000000000001</v>
      </c>
      <c r="O448" s="233">
        <f t="shared" si="68"/>
        <v>0.34436142000000003</v>
      </c>
      <c r="P448" s="233">
        <f t="shared" si="72"/>
        <v>0.34600000000000003</v>
      </c>
      <c r="Q448" s="233">
        <f t="shared" si="73"/>
        <v>-1.6385800000000006E-3</v>
      </c>
      <c r="R448" s="217" t="s">
        <v>46</v>
      </c>
      <c r="S448" s="216" t="s">
        <v>1062</v>
      </c>
      <c r="T448" s="222" t="s">
        <v>282</v>
      </c>
      <c r="U448" s="222" t="s">
        <v>310</v>
      </c>
      <c r="V448" s="222"/>
    </row>
    <row r="449" spans="1:22" ht="86.45" customHeight="1" x14ac:dyDescent="0.75">
      <c r="A449" s="216">
        <v>157</v>
      </c>
      <c r="B449" s="220" t="s">
        <v>823</v>
      </c>
      <c r="C449" s="216" t="s">
        <v>511</v>
      </c>
      <c r="D449" s="221">
        <v>190569006612</v>
      </c>
      <c r="E449" s="221"/>
      <c r="F449" s="216" t="s">
        <v>20</v>
      </c>
      <c r="G449" s="216">
        <v>1.5</v>
      </c>
      <c r="H449" s="233">
        <v>3.8181189999999998</v>
      </c>
      <c r="I449" s="233">
        <f t="shared" si="74"/>
        <v>1.9090594999999998E-2</v>
      </c>
      <c r="J449" s="233">
        <v>0</v>
      </c>
      <c r="K449" s="233">
        <f>((16)*1000)/1000000</f>
        <v>1.6E-2</v>
      </c>
      <c r="L449" s="233">
        <f t="shared" si="75"/>
        <v>0.32454011500000002</v>
      </c>
      <c r="M449" s="237">
        <v>0</v>
      </c>
      <c r="N449" s="233">
        <f>((273)*1000)/1000000</f>
        <v>0.27300000000000002</v>
      </c>
      <c r="O449" s="233">
        <f t="shared" si="68"/>
        <v>0.34363071000000001</v>
      </c>
      <c r="P449" s="233">
        <f t="shared" si="72"/>
        <v>0.28900000000000003</v>
      </c>
      <c r="Q449" s="233">
        <f t="shared" si="73"/>
        <v>5.4630709999999971E-2</v>
      </c>
      <c r="R449" s="217" t="s">
        <v>284</v>
      </c>
      <c r="S449" s="216" t="s">
        <v>976</v>
      </c>
      <c r="T449" s="222" t="s">
        <v>282</v>
      </c>
      <c r="U449" s="222" t="s">
        <v>283</v>
      </c>
      <c r="V449" s="222"/>
    </row>
    <row r="450" spans="1:22" ht="86.45" customHeight="1" x14ac:dyDescent="0.75">
      <c r="A450" s="216">
        <v>158</v>
      </c>
      <c r="B450" s="220" t="s">
        <v>824</v>
      </c>
      <c r="C450" s="216" t="s">
        <v>511</v>
      </c>
      <c r="D450" s="221">
        <v>190569021160</v>
      </c>
      <c r="E450" s="221"/>
      <c r="F450" s="216" t="s">
        <v>20</v>
      </c>
      <c r="G450" s="216">
        <v>1.4</v>
      </c>
      <c r="H450" s="233">
        <v>2.2490169999999998</v>
      </c>
      <c r="I450" s="233">
        <f t="shared" si="74"/>
        <v>1.1245085E-2</v>
      </c>
      <c r="J450" s="233">
        <v>0</v>
      </c>
      <c r="K450" s="233">
        <f>((8)*1000)/1000000</f>
        <v>8.0000000000000002E-3</v>
      </c>
      <c r="L450" s="233">
        <f t="shared" si="75"/>
        <v>0.19116644499999999</v>
      </c>
      <c r="M450" s="237">
        <v>0</v>
      </c>
      <c r="N450" s="233">
        <f>((143)*1000)/1000000</f>
        <v>0.14299999999999999</v>
      </c>
      <c r="O450" s="233">
        <f t="shared" si="68"/>
        <v>0.20241152999999998</v>
      </c>
      <c r="P450" s="233">
        <f t="shared" si="72"/>
        <v>0.151</v>
      </c>
      <c r="Q450" s="233">
        <f t="shared" si="73"/>
        <v>5.1411529999999983E-2</v>
      </c>
      <c r="R450" s="217" t="s">
        <v>284</v>
      </c>
      <c r="S450" s="216" t="s">
        <v>941</v>
      </c>
      <c r="T450" s="222" t="s">
        <v>282</v>
      </c>
      <c r="U450" s="222" t="s">
        <v>283</v>
      </c>
      <c r="V450" s="222"/>
    </row>
    <row r="451" spans="1:22" ht="86.45" customHeight="1" x14ac:dyDescent="0.75">
      <c r="A451" s="330">
        <v>159</v>
      </c>
      <c r="B451" s="355" t="s">
        <v>825</v>
      </c>
      <c r="C451" s="330" t="s">
        <v>511</v>
      </c>
      <c r="D451" s="347">
        <v>420819008800</v>
      </c>
      <c r="E451" s="221" t="s">
        <v>1298</v>
      </c>
      <c r="F451" s="216" t="s">
        <v>20</v>
      </c>
      <c r="G451" s="216">
        <v>1.2</v>
      </c>
      <c r="H451" s="233">
        <v>1.7226239999999999</v>
      </c>
      <c r="I451" s="233">
        <f t="shared" si="74"/>
        <v>8.6131200000000002E-3</v>
      </c>
      <c r="J451" s="233">
        <v>0</v>
      </c>
      <c r="K451" s="233">
        <v>0</v>
      </c>
      <c r="L451" s="233">
        <f t="shared" si="75"/>
        <v>0.14642304</v>
      </c>
      <c r="M451" s="237">
        <v>0</v>
      </c>
      <c r="N451" s="233">
        <v>0</v>
      </c>
      <c r="O451" s="233">
        <f t="shared" si="68"/>
        <v>0.15503616000000001</v>
      </c>
      <c r="P451" s="233">
        <f t="shared" si="72"/>
        <v>0</v>
      </c>
      <c r="Q451" s="233">
        <f t="shared" si="73"/>
        <v>0.15503616000000001</v>
      </c>
      <c r="R451" s="217" t="s">
        <v>19</v>
      </c>
      <c r="S451" s="216" t="s">
        <v>447</v>
      </c>
      <c r="T451" s="222" t="s">
        <v>344</v>
      </c>
      <c r="U451" s="222"/>
      <c r="V451" s="222"/>
    </row>
    <row r="452" spans="1:22" ht="86.45" customHeight="1" x14ac:dyDescent="0.75">
      <c r="A452" s="332"/>
      <c r="B452" s="356"/>
      <c r="C452" s="332"/>
      <c r="D452" s="348"/>
      <c r="E452" s="260" t="s">
        <v>1412</v>
      </c>
      <c r="F452" s="360" t="s">
        <v>1424</v>
      </c>
      <c r="G452" s="361"/>
      <c r="H452" s="361"/>
      <c r="I452" s="361"/>
      <c r="J452" s="361"/>
      <c r="K452" s="361"/>
      <c r="L452" s="361"/>
      <c r="M452" s="361"/>
      <c r="N452" s="361"/>
      <c r="O452" s="361"/>
      <c r="P452" s="361"/>
      <c r="Q452" s="361"/>
      <c r="R452" s="361"/>
      <c r="S452" s="362"/>
      <c r="T452" s="222"/>
      <c r="U452" s="222"/>
      <c r="V452" s="222"/>
    </row>
    <row r="453" spans="1:22" ht="86.45" customHeight="1" x14ac:dyDescent="0.75">
      <c r="A453" s="216">
        <v>160</v>
      </c>
      <c r="B453" s="220" t="s">
        <v>826</v>
      </c>
      <c r="C453" s="216" t="s">
        <v>511</v>
      </c>
      <c r="D453" s="221">
        <v>262079206151</v>
      </c>
      <c r="E453" s="221"/>
      <c r="F453" s="216" t="s">
        <v>20</v>
      </c>
      <c r="G453" s="216">
        <v>4.4000000000000004</v>
      </c>
      <c r="H453" s="233">
        <v>29.537761</v>
      </c>
      <c r="I453" s="233">
        <f t="shared" si="74"/>
        <v>0.14768880500000001</v>
      </c>
      <c r="J453" s="233">
        <v>0</v>
      </c>
      <c r="K453" s="233">
        <f>((27+103+1)*1000)/1000000</f>
        <v>0.13100000000000001</v>
      </c>
      <c r="L453" s="233">
        <f t="shared" si="75"/>
        <v>2.5107096850000001</v>
      </c>
      <c r="M453" s="237">
        <v>0</v>
      </c>
      <c r="N453" s="233">
        <f>((465+1876)*1000)/1000000</f>
        <v>2.3410000000000002</v>
      </c>
      <c r="O453" s="233">
        <f t="shared" si="68"/>
        <v>2.6583984900000002</v>
      </c>
      <c r="P453" s="233">
        <f t="shared" si="72"/>
        <v>2.4720000000000004</v>
      </c>
      <c r="Q453" s="233">
        <f t="shared" si="73"/>
        <v>0.18639848999999975</v>
      </c>
      <c r="R453" s="217" t="s">
        <v>284</v>
      </c>
      <c r="S453" s="216" t="s">
        <v>1063</v>
      </c>
      <c r="T453" s="222" t="s">
        <v>282</v>
      </c>
      <c r="U453" s="222" t="s">
        <v>283</v>
      </c>
      <c r="V453" s="222"/>
    </row>
    <row r="454" spans="1:22" ht="86.45" customHeight="1" x14ac:dyDescent="0.75">
      <c r="A454" s="216">
        <v>161</v>
      </c>
      <c r="B454" s="220" t="s">
        <v>917</v>
      </c>
      <c r="C454" s="216" t="s">
        <v>648</v>
      </c>
      <c r="D454" s="221">
        <v>900000041961</v>
      </c>
      <c r="E454" s="221"/>
      <c r="F454" s="216" t="s">
        <v>20</v>
      </c>
      <c r="G454" s="216">
        <v>3</v>
      </c>
      <c r="H454" s="233">
        <v>1.44</v>
      </c>
      <c r="I454" s="233">
        <f t="shared" si="74"/>
        <v>7.1999999999999998E-3</v>
      </c>
      <c r="J454" s="233">
        <v>0</v>
      </c>
      <c r="K454" s="233">
        <v>0</v>
      </c>
      <c r="L454" s="233">
        <f t="shared" si="75"/>
        <v>0.12240000000000001</v>
      </c>
      <c r="M454" s="237">
        <v>0</v>
      </c>
      <c r="N454" s="233">
        <v>0</v>
      </c>
      <c r="O454" s="233">
        <f t="shared" si="68"/>
        <v>0.12960000000000002</v>
      </c>
      <c r="P454" s="233">
        <f t="shared" si="72"/>
        <v>0</v>
      </c>
      <c r="Q454" s="233">
        <f t="shared" si="73"/>
        <v>0.12960000000000002</v>
      </c>
      <c r="R454" s="217" t="s">
        <v>46</v>
      </c>
      <c r="S454" s="216" t="s">
        <v>445</v>
      </c>
      <c r="T454" s="222" t="s">
        <v>344</v>
      </c>
      <c r="U454" s="222"/>
      <c r="V454" s="222"/>
    </row>
    <row r="455" spans="1:22" ht="86.45" customHeight="1" x14ac:dyDescent="0.75">
      <c r="A455" s="333">
        <v>162</v>
      </c>
      <c r="B455" s="353" t="s">
        <v>827</v>
      </c>
      <c r="C455" s="333" t="s">
        <v>511</v>
      </c>
      <c r="D455" s="354">
        <v>30879025210</v>
      </c>
      <c r="E455" s="221"/>
      <c r="F455" s="216" t="s">
        <v>20</v>
      </c>
      <c r="G455" s="216">
        <v>3</v>
      </c>
      <c r="H455" s="233">
        <v>2.3409200000000001</v>
      </c>
      <c r="I455" s="233">
        <f t="shared" si="74"/>
        <v>1.1704600000000001E-2</v>
      </c>
      <c r="J455" s="233">
        <v>0</v>
      </c>
      <c r="K455" s="233">
        <f>(9+3+1)*1000/1000000</f>
        <v>1.2999999999999999E-2</v>
      </c>
      <c r="L455" s="233">
        <f t="shared" si="75"/>
        <v>0.19897820000000002</v>
      </c>
      <c r="M455" s="237">
        <v>0</v>
      </c>
      <c r="N455" s="233">
        <f>(169+21+10)*1000/1000000</f>
        <v>0.2</v>
      </c>
      <c r="O455" s="233">
        <f t="shared" ref="O455:O541" si="76">+I455+L455</f>
        <v>0.21068280000000003</v>
      </c>
      <c r="P455" s="233">
        <f t="shared" si="72"/>
        <v>0.21300000000000002</v>
      </c>
      <c r="Q455" s="233">
        <f t="shared" si="73"/>
        <v>-2.3171999999999915E-3</v>
      </c>
      <c r="R455" s="217" t="s">
        <v>19</v>
      </c>
      <c r="S455" s="216" t="s">
        <v>1064</v>
      </c>
      <c r="T455" s="222" t="s">
        <v>282</v>
      </c>
      <c r="U455" s="222" t="s">
        <v>310</v>
      </c>
      <c r="V455" s="222"/>
    </row>
    <row r="456" spans="1:22" ht="86.45" customHeight="1" x14ac:dyDescent="0.75">
      <c r="A456" s="333"/>
      <c r="B456" s="353"/>
      <c r="C456" s="333"/>
      <c r="D456" s="354"/>
      <c r="E456" s="221"/>
      <c r="F456" s="216" t="s">
        <v>21</v>
      </c>
      <c r="G456" s="216">
        <v>5</v>
      </c>
      <c r="H456" s="233">
        <v>0</v>
      </c>
      <c r="I456" s="233">
        <f>+H456*0.01</f>
        <v>0</v>
      </c>
      <c r="J456" s="233">
        <v>0</v>
      </c>
      <c r="K456" s="233">
        <v>0</v>
      </c>
      <c r="L456" s="233">
        <f>+H456*(10/100)</f>
        <v>0</v>
      </c>
      <c r="M456" s="237">
        <v>0</v>
      </c>
      <c r="N456" s="233">
        <v>0</v>
      </c>
      <c r="O456" s="233">
        <f t="shared" si="76"/>
        <v>0</v>
      </c>
      <c r="P456" s="233">
        <f t="shared" si="72"/>
        <v>0</v>
      </c>
      <c r="Q456" s="233">
        <f t="shared" si="73"/>
        <v>0</v>
      </c>
      <c r="R456" s="217" t="s">
        <v>19</v>
      </c>
      <c r="S456" s="216" t="s">
        <v>489</v>
      </c>
      <c r="T456" s="222" t="s">
        <v>344</v>
      </c>
      <c r="U456" s="222"/>
      <c r="V456" s="222"/>
    </row>
    <row r="457" spans="1:22" ht="86.45" customHeight="1" x14ac:dyDescent="0.75">
      <c r="A457" s="324">
        <v>163</v>
      </c>
      <c r="B457" s="324" t="s">
        <v>775</v>
      </c>
      <c r="C457" s="330" t="s">
        <v>511</v>
      </c>
      <c r="D457" s="347">
        <v>184819037730</v>
      </c>
      <c r="E457" s="347" t="s">
        <v>1298</v>
      </c>
      <c r="F457" s="216" t="s">
        <v>20</v>
      </c>
      <c r="G457" s="216">
        <v>4.8476840000000001</v>
      </c>
      <c r="H457" s="233">
        <v>5.0807500000000001</v>
      </c>
      <c r="I457" s="233">
        <f>+H457*0.005</f>
        <v>2.5403750000000003E-2</v>
      </c>
      <c r="J457" s="233">
        <v>0</v>
      </c>
      <c r="K457" s="233">
        <v>2.7E-2</v>
      </c>
      <c r="L457" s="233">
        <f>+H457*(8.5/100)</f>
        <v>0.43186375000000005</v>
      </c>
      <c r="M457" s="237">
        <v>0</v>
      </c>
      <c r="N457" s="233">
        <v>0.433</v>
      </c>
      <c r="O457" s="233">
        <f>+I457+L457</f>
        <v>0.45726750000000005</v>
      </c>
      <c r="P457" s="233">
        <f>+((J457+K457)+(M457+N457))</f>
        <v>0.46</v>
      </c>
      <c r="Q457" s="233">
        <f>+O457-P457</f>
        <v>-2.7324999999999711E-3</v>
      </c>
      <c r="R457" s="217" t="s">
        <v>284</v>
      </c>
      <c r="S457" s="216" t="s">
        <v>1065</v>
      </c>
      <c r="T457" s="222" t="s">
        <v>282</v>
      </c>
      <c r="U457" s="222" t="s">
        <v>310</v>
      </c>
      <c r="V457" s="222"/>
    </row>
    <row r="458" spans="1:22" ht="86.45" customHeight="1" x14ac:dyDescent="0.75">
      <c r="A458" s="325"/>
      <c r="B458" s="325"/>
      <c r="C458" s="331"/>
      <c r="D458" s="349"/>
      <c r="E458" s="348"/>
      <c r="F458" s="216" t="s">
        <v>21</v>
      </c>
      <c r="G458" s="216">
        <v>5</v>
      </c>
      <c r="H458" s="233">
        <v>9.9005299999999998</v>
      </c>
      <c r="I458" s="233">
        <f>+H458*0.01</f>
        <v>9.9005300000000004E-2</v>
      </c>
      <c r="J458" s="233">
        <v>0</v>
      </c>
      <c r="K458" s="233">
        <v>0</v>
      </c>
      <c r="L458" s="233">
        <f>+H458*(10/100)</f>
        <v>0.99005300000000007</v>
      </c>
      <c r="M458" s="237">
        <v>0</v>
      </c>
      <c r="N458" s="233">
        <v>0</v>
      </c>
      <c r="O458" s="233">
        <f t="shared" si="76"/>
        <v>1.0890583</v>
      </c>
      <c r="P458" s="233">
        <f t="shared" si="72"/>
        <v>0</v>
      </c>
      <c r="Q458" s="233">
        <f t="shared" si="73"/>
        <v>1.0890583</v>
      </c>
      <c r="R458" s="217" t="s">
        <v>19</v>
      </c>
      <c r="S458" s="216" t="s">
        <v>489</v>
      </c>
      <c r="T458" s="222" t="s">
        <v>344</v>
      </c>
      <c r="U458" s="222"/>
      <c r="V458" s="222"/>
    </row>
    <row r="459" spans="1:22" ht="86.45" customHeight="1" x14ac:dyDescent="0.75">
      <c r="A459" s="325"/>
      <c r="B459" s="325"/>
      <c r="C459" s="331"/>
      <c r="D459" s="349"/>
      <c r="E459" s="350" t="s">
        <v>1342</v>
      </c>
      <c r="F459" s="254" t="s">
        <v>20</v>
      </c>
      <c r="G459" s="360" t="s">
        <v>1413</v>
      </c>
      <c r="H459" s="361"/>
      <c r="I459" s="361"/>
      <c r="J459" s="361"/>
      <c r="K459" s="361"/>
      <c r="L459" s="361"/>
      <c r="M459" s="361"/>
      <c r="N459" s="361"/>
      <c r="O459" s="361"/>
      <c r="P459" s="361"/>
      <c r="Q459" s="361"/>
      <c r="R459" s="361"/>
      <c r="S459" s="362"/>
      <c r="T459" s="222"/>
      <c r="U459" s="222"/>
      <c r="V459" s="222"/>
    </row>
    <row r="460" spans="1:22" ht="86.45" customHeight="1" x14ac:dyDescent="0.75">
      <c r="A460" s="326"/>
      <c r="B460" s="326"/>
      <c r="C460" s="332"/>
      <c r="D460" s="348"/>
      <c r="E460" s="352"/>
      <c r="F460" s="254" t="s">
        <v>21</v>
      </c>
      <c r="G460" s="254">
        <v>4</v>
      </c>
      <c r="H460" s="255">
        <v>11.026759</v>
      </c>
      <c r="I460" s="255">
        <v>0.11026759999999999</v>
      </c>
      <c r="J460" s="255">
        <v>0</v>
      </c>
      <c r="K460" s="255">
        <v>0.11</v>
      </c>
      <c r="L460" s="255">
        <v>1.102676</v>
      </c>
      <c r="M460" s="256">
        <v>0</v>
      </c>
      <c r="N460" s="255">
        <v>1.1020000000000001</v>
      </c>
      <c r="O460" s="255">
        <v>1.2129430000000001</v>
      </c>
      <c r="P460" s="255">
        <f t="shared" si="72"/>
        <v>1.2120000000000002</v>
      </c>
      <c r="Q460" s="255">
        <v>0</v>
      </c>
      <c r="R460" s="258"/>
      <c r="S460" s="254"/>
      <c r="T460" s="222"/>
      <c r="U460" s="222"/>
      <c r="V460" s="222"/>
    </row>
    <row r="461" spans="1:22" ht="86.45" customHeight="1" x14ac:dyDescent="0.75">
      <c r="A461" s="216">
        <v>164</v>
      </c>
      <c r="B461" s="220" t="s">
        <v>1292</v>
      </c>
      <c r="C461" s="216" t="s">
        <v>515</v>
      </c>
      <c r="D461" s="221">
        <v>150820616</v>
      </c>
      <c r="E461" s="221"/>
      <c r="F461" s="216" t="s">
        <v>20</v>
      </c>
      <c r="G461" s="216">
        <v>1.1000000000000001</v>
      </c>
      <c r="H461" s="233">
        <f>4813744.8/1000000</f>
        <v>4.8137447999999994</v>
      </c>
      <c r="I461" s="233">
        <f t="shared" ref="I461:I470" si="77">+H461*0.005</f>
        <v>2.4068723999999996E-2</v>
      </c>
      <c r="J461" s="233">
        <v>0</v>
      </c>
      <c r="K461" s="233">
        <v>0</v>
      </c>
      <c r="L461" s="233">
        <f t="shared" ref="L461:L472" si="78">+H461*(8.5/100)</f>
        <v>0.40916830799999998</v>
      </c>
      <c r="M461" s="237">
        <v>0</v>
      </c>
      <c r="N461" s="233">
        <v>0</v>
      </c>
      <c r="O461" s="233">
        <f t="shared" si="76"/>
        <v>0.43323703199999997</v>
      </c>
      <c r="P461" s="233">
        <f t="shared" si="72"/>
        <v>0</v>
      </c>
      <c r="Q461" s="233">
        <f t="shared" si="73"/>
        <v>0.43323703199999997</v>
      </c>
      <c r="R461" s="217" t="s">
        <v>30</v>
      </c>
      <c r="S461" s="216" t="s">
        <v>31</v>
      </c>
      <c r="T461" s="222" t="s">
        <v>344</v>
      </c>
      <c r="U461" s="222"/>
      <c r="V461" s="222"/>
    </row>
    <row r="462" spans="1:22" ht="86.45" customHeight="1" x14ac:dyDescent="0.75">
      <c r="A462" s="333">
        <v>165</v>
      </c>
      <c r="B462" s="353" t="s">
        <v>828</v>
      </c>
      <c r="C462" s="333" t="s">
        <v>511</v>
      </c>
      <c r="D462" s="354">
        <v>23449019431</v>
      </c>
      <c r="E462" s="221"/>
      <c r="F462" s="216" t="s">
        <v>18</v>
      </c>
      <c r="G462" s="216">
        <v>1.2</v>
      </c>
      <c r="H462" s="233">
        <v>8.2116410000000002</v>
      </c>
      <c r="I462" s="233">
        <f t="shared" si="77"/>
        <v>4.1058205E-2</v>
      </c>
      <c r="J462" s="233">
        <v>0</v>
      </c>
      <c r="K462" s="233">
        <v>0</v>
      </c>
      <c r="L462" s="233">
        <f t="shared" si="78"/>
        <v>0.69798948500000002</v>
      </c>
      <c r="M462" s="237">
        <v>0</v>
      </c>
      <c r="N462" s="233">
        <v>0</v>
      </c>
      <c r="O462" s="233">
        <f t="shared" si="76"/>
        <v>0.73904769000000003</v>
      </c>
      <c r="P462" s="233">
        <f t="shared" si="72"/>
        <v>0</v>
      </c>
      <c r="Q462" s="233">
        <f t="shared" si="73"/>
        <v>0.73904769000000003</v>
      </c>
      <c r="R462" s="217" t="s">
        <v>19</v>
      </c>
      <c r="S462" s="216" t="s">
        <v>346</v>
      </c>
      <c r="T462" s="222" t="s">
        <v>344</v>
      </c>
      <c r="U462" s="222"/>
      <c r="V462" s="222"/>
    </row>
    <row r="463" spans="1:22" ht="86.45" customHeight="1" x14ac:dyDescent="0.75">
      <c r="A463" s="333"/>
      <c r="B463" s="353"/>
      <c r="C463" s="333"/>
      <c r="D463" s="354"/>
      <c r="E463" s="221"/>
      <c r="F463" s="216" t="s">
        <v>20</v>
      </c>
      <c r="G463" s="216">
        <v>4.0999999999999996</v>
      </c>
      <c r="H463" s="233">
        <v>20.750302000000001</v>
      </c>
      <c r="I463" s="233">
        <f t="shared" si="77"/>
        <v>0.10375151000000001</v>
      </c>
      <c r="J463" s="233">
        <v>0</v>
      </c>
      <c r="K463" s="233">
        <f>((900*1000)/1000000)</f>
        <v>0.9</v>
      </c>
      <c r="L463" s="233">
        <f t="shared" si="78"/>
        <v>1.7637756700000002</v>
      </c>
      <c r="M463" s="237">
        <v>0</v>
      </c>
      <c r="N463" s="233">
        <f>((1524*1000)/1000000)</f>
        <v>1.524</v>
      </c>
      <c r="O463" s="233">
        <f t="shared" si="76"/>
        <v>1.8675271800000002</v>
      </c>
      <c r="P463" s="233">
        <f t="shared" si="72"/>
        <v>2.4239999999999999</v>
      </c>
      <c r="Q463" s="233">
        <f t="shared" si="73"/>
        <v>-0.55647281999999976</v>
      </c>
      <c r="R463" s="217" t="s">
        <v>19</v>
      </c>
      <c r="S463" s="216" t="s">
        <v>452</v>
      </c>
      <c r="T463" s="222" t="s">
        <v>282</v>
      </c>
      <c r="U463" s="222" t="s">
        <v>310</v>
      </c>
      <c r="V463" s="222"/>
    </row>
    <row r="464" spans="1:22" ht="86.45" customHeight="1" x14ac:dyDescent="0.75">
      <c r="A464" s="330">
        <v>166</v>
      </c>
      <c r="B464" s="324" t="s">
        <v>829</v>
      </c>
      <c r="C464" s="330" t="s">
        <v>511</v>
      </c>
      <c r="D464" s="347">
        <v>149006532</v>
      </c>
      <c r="E464" s="221" t="s">
        <v>1298</v>
      </c>
      <c r="F464" s="216" t="s">
        <v>20</v>
      </c>
      <c r="G464" s="216">
        <v>2.2000000000000002</v>
      </c>
      <c r="H464" s="233">
        <v>20.711238000000002</v>
      </c>
      <c r="I464" s="233">
        <f t="shared" si="77"/>
        <v>0.10355619000000001</v>
      </c>
      <c r="J464" s="233">
        <v>0</v>
      </c>
      <c r="K464" s="233">
        <f>((1+7+20+15+7+16+8+15)*1000)/1000000</f>
        <v>8.8999999999999996E-2</v>
      </c>
      <c r="L464" s="233">
        <f t="shared" si="78"/>
        <v>1.7604552300000003</v>
      </c>
      <c r="M464" s="237">
        <v>0</v>
      </c>
      <c r="N464" s="233">
        <f>((256+134+227+119+200+300+129+1)*1000)/1000000</f>
        <v>1.3660000000000001</v>
      </c>
      <c r="O464" s="233">
        <f t="shared" si="76"/>
        <v>1.8640114200000002</v>
      </c>
      <c r="P464" s="233">
        <f t="shared" si="72"/>
        <v>1.4550000000000001</v>
      </c>
      <c r="Q464" s="233">
        <f t="shared" si="73"/>
        <v>0.40901142000000013</v>
      </c>
      <c r="R464" s="217" t="s">
        <v>284</v>
      </c>
      <c r="S464" s="216" t="s">
        <v>117</v>
      </c>
      <c r="T464" s="222" t="s">
        <v>282</v>
      </c>
      <c r="U464" s="222" t="s">
        <v>283</v>
      </c>
      <c r="V464" s="222"/>
    </row>
    <row r="465" spans="1:30" ht="86.45" customHeight="1" x14ac:dyDescent="0.75">
      <c r="A465" s="332"/>
      <c r="B465" s="326"/>
      <c r="C465" s="332"/>
      <c r="D465" s="348"/>
      <c r="E465" s="260" t="s">
        <v>1336</v>
      </c>
      <c r="F465" s="254" t="s">
        <v>20</v>
      </c>
      <c r="G465" s="254">
        <v>2.2000000000000002</v>
      </c>
      <c r="H465" s="255">
        <v>18.060600000000001</v>
      </c>
      <c r="I465" s="255">
        <f t="shared" si="77"/>
        <v>9.0303000000000008E-2</v>
      </c>
      <c r="J465" s="255">
        <v>0</v>
      </c>
      <c r="K465" s="255">
        <v>9.0999999999999998E-2</v>
      </c>
      <c r="L465" s="255">
        <f t="shared" si="78"/>
        <v>1.5351510000000002</v>
      </c>
      <c r="M465" s="256">
        <v>0</v>
      </c>
      <c r="N465" s="255">
        <v>1.536</v>
      </c>
      <c r="O465" s="255">
        <f t="shared" si="76"/>
        <v>1.6254540000000002</v>
      </c>
      <c r="P465" s="255">
        <v>1.627</v>
      </c>
      <c r="Q465" s="255">
        <f t="shared" si="73"/>
        <v>-1.5459999999998253E-3</v>
      </c>
      <c r="R465" s="258"/>
      <c r="S465" s="254"/>
      <c r="T465" s="222"/>
      <c r="U465" s="222"/>
      <c r="V465" s="222"/>
    </row>
    <row r="466" spans="1:30" ht="86.45" customHeight="1" x14ac:dyDescent="0.75">
      <c r="A466" s="216">
        <v>167</v>
      </c>
      <c r="B466" s="220" t="s">
        <v>910</v>
      </c>
      <c r="C466" s="216" t="s">
        <v>515</v>
      </c>
      <c r="D466" s="221">
        <v>151919067</v>
      </c>
      <c r="E466" s="221"/>
      <c r="F466" s="216" t="s">
        <v>20</v>
      </c>
      <c r="G466" s="216">
        <v>1.5</v>
      </c>
      <c r="H466" s="233">
        <f>686804.194184382/1000000</f>
        <v>0.68680419418438199</v>
      </c>
      <c r="I466" s="233">
        <f t="shared" si="77"/>
        <v>3.43402097092191E-3</v>
      </c>
      <c r="J466" s="233">
        <v>0</v>
      </c>
      <c r="K466" s="233">
        <v>0</v>
      </c>
      <c r="L466" s="233">
        <f t="shared" si="78"/>
        <v>5.8378356505672475E-2</v>
      </c>
      <c r="M466" s="237">
        <v>0</v>
      </c>
      <c r="N466" s="233">
        <v>0</v>
      </c>
      <c r="O466" s="233">
        <f t="shared" si="76"/>
        <v>6.1812377476594384E-2</v>
      </c>
      <c r="P466" s="233">
        <f t="shared" si="72"/>
        <v>0</v>
      </c>
      <c r="Q466" s="233">
        <f t="shared" si="73"/>
        <v>6.1812377476594384E-2</v>
      </c>
      <c r="R466" s="217" t="s">
        <v>30</v>
      </c>
      <c r="S466" s="216" t="s">
        <v>31</v>
      </c>
      <c r="T466" s="222" t="s">
        <v>344</v>
      </c>
      <c r="U466" s="222"/>
      <c r="V466" s="222"/>
    </row>
    <row r="467" spans="1:30" s="244" customFormat="1" ht="86.45" customHeight="1" x14ac:dyDescent="0.75">
      <c r="A467" s="324">
        <v>168</v>
      </c>
      <c r="B467" s="324" t="s">
        <v>830</v>
      </c>
      <c r="C467" s="330" t="s">
        <v>511</v>
      </c>
      <c r="D467" s="347" t="s">
        <v>679</v>
      </c>
      <c r="E467" s="221" t="s">
        <v>1298</v>
      </c>
      <c r="F467" s="216" t="s">
        <v>20</v>
      </c>
      <c r="G467" s="216">
        <v>1.2</v>
      </c>
      <c r="H467" s="233">
        <v>9.1352589999999996</v>
      </c>
      <c r="I467" s="233">
        <f t="shared" si="77"/>
        <v>4.5676294999999999E-2</v>
      </c>
      <c r="J467" s="233">
        <v>0</v>
      </c>
      <c r="K467" s="233">
        <v>0</v>
      </c>
      <c r="L467" s="233">
        <f t="shared" si="78"/>
        <v>0.77649701500000001</v>
      </c>
      <c r="M467" s="237">
        <v>0</v>
      </c>
      <c r="N467" s="233">
        <v>0</v>
      </c>
      <c r="O467" s="233">
        <f t="shared" si="76"/>
        <v>0.82217331000000005</v>
      </c>
      <c r="P467" s="233">
        <f t="shared" si="72"/>
        <v>0</v>
      </c>
      <c r="Q467" s="233">
        <f t="shared" si="73"/>
        <v>0.82217331000000005</v>
      </c>
      <c r="R467" s="217" t="s">
        <v>19</v>
      </c>
      <c r="S467" s="216" t="s">
        <v>29</v>
      </c>
      <c r="T467" s="243" t="s">
        <v>344</v>
      </c>
      <c r="U467" s="243"/>
      <c r="V467" s="243"/>
    </row>
    <row r="468" spans="1:30" s="244" customFormat="1" ht="86.45" customHeight="1" x14ac:dyDescent="0.75">
      <c r="A468" s="325"/>
      <c r="B468" s="325"/>
      <c r="C468" s="331"/>
      <c r="D468" s="349"/>
      <c r="E468" s="257" t="s">
        <v>1434</v>
      </c>
      <c r="F468" s="254" t="s">
        <v>18</v>
      </c>
      <c r="G468" s="254">
        <v>1.2</v>
      </c>
      <c r="H468" s="357" t="s">
        <v>1416</v>
      </c>
      <c r="I468" s="358"/>
      <c r="J468" s="358"/>
      <c r="K468" s="358"/>
      <c r="L468" s="358"/>
      <c r="M468" s="358"/>
      <c r="N468" s="358"/>
      <c r="O468" s="358"/>
      <c r="P468" s="358"/>
      <c r="Q468" s="358"/>
      <c r="R468" s="358"/>
      <c r="S468" s="359"/>
      <c r="T468" s="243"/>
      <c r="U468" s="243"/>
      <c r="V468" s="243"/>
    </row>
    <row r="469" spans="1:30" s="244" customFormat="1" ht="86.45" customHeight="1" x14ac:dyDescent="0.75">
      <c r="A469" s="330">
        <v>169</v>
      </c>
      <c r="B469" s="324" t="s">
        <v>831</v>
      </c>
      <c r="C469" s="330" t="s">
        <v>511</v>
      </c>
      <c r="D469" s="347">
        <v>110019001150</v>
      </c>
      <c r="E469" s="347" t="s">
        <v>1298</v>
      </c>
      <c r="F469" s="216" t="s">
        <v>18</v>
      </c>
      <c r="G469" s="216">
        <v>3</v>
      </c>
      <c r="H469" s="233">
        <v>2.3969520000000002</v>
      </c>
      <c r="I469" s="233">
        <f t="shared" si="77"/>
        <v>1.1984760000000001E-2</v>
      </c>
      <c r="J469" s="233">
        <v>0</v>
      </c>
      <c r="K469" s="233">
        <f>(11+10+10+10+11+19+10+11+10+10+11)*1000/1000000</f>
        <v>0.123</v>
      </c>
      <c r="L469" s="233">
        <f t="shared" si="78"/>
        <v>0.20374092000000002</v>
      </c>
      <c r="M469" s="237">
        <v>0</v>
      </c>
      <c r="N469" s="233">
        <f>(172+166+184+170+181+328+175+183+174+181+172)*1000/1000000</f>
        <v>2.0859999999999999</v>
      </c>
      <c r="O469" s="233">
        <f t="shared" si="76"/>
        <v>0.21572568000000003</v>
      </c>
      <c r="P469" s="233">
        <f t="shared" si="72"/>
        <v>2.2089999999999996</v>
      </c>
      <c r="Q469" s="233">
        <f t="shared" si="73"/>
        <v>-1.9932743199999996</v>
      </c>
      <c r="R469" s="217" t="s">
        <v>284</v>
      </c>
      <c r="S469" s="216" t="s">
        <v>1066</v>
      </c>
      <c r="T469" s="243" t="s">
        <v>282</v>
      </c>
      <c r="U469" s="243" t="s">
        <v>316</v>
      </c>
      <c r="V469" s="243"/>
    </row>
    <row r="470" spans="1:30" s="244" customFormat="1" ht="86.45" customHeight="1" x14ac:dyDescent="0.75">
      <c r="A470" s="331"/>
      <c r="B470" s="325"/>
      <c r="C470" s="331"/>
      <c r="D470" s="349"/>
      <c r="E470" s="349"/>
      <c r="F470" s="216" t="s">
        <v>20</v>
      </c>
      <c r="G470" s="216">
        <v>3</v>
      </c>
      <c r="H470" s="233">
        <v>32.508040000000001</v>
      </c>
      <c r="I470" s="233">
        <f t="shared" si="77"/>
        <v>0.1625402</v>
      </c>
      <c r="J470" s="233">
        <v>0</v>
      </c>
      <c r="K470" s="233">
        <f>((14+25+38+66+20)*1000)/1000000</f>
        <v>0.16300000000000001</v>
      </c>
      <c r="L470" s="233">
        <f t="shared" si="78"/>
        <v>2.7631834000000004</v>
      </c>
      <c r="M470" s="237">
        <v>0</v>
      </c>
      <c r="N470" s="233">
        <f>((339+225+431+641+1128)*1000)/1000000</f>
        <v>2.7639999999999998</v>
      </c>
      <c r="O470" s="233">
        <f t="shared" si="76"/>
        <v>2.9257236000000004</v>
      </c>
      <c r="P470" s="233">
        <f t="shared" si="72"/>
        <v>2.9269999999999996</v>
      </c>
      <c r="Q470" s="233">
        <f t="shared" si="73"/>
        <v>-1.2763999999991782E-3</v>
      </c>
      <c r="R470" s="217" t="s">
        <v>284</v>
      </c>
      <c r="S470" s="216" t="s">
        <v>939</v>
      </c>
      <c r="T470" s="243" t="s">
        <v>282</v>
      </c>
      <c r="U470" s="243" t="s">
        <v>310</v>
      </c>
      <c r="V470" s="243"/>
    </row>
    <row r="471" spans="1:30" s="244" customFormat="1" ht="86.45" customHeight="1" x14ac:dyDescent="0.75">
      <c r="A471" s="331"/>
      <c r="B471" s="325"/>
      <c r="C471" s="331"/>
      <c r="D471" s="349"/>
      <c r="E471" s="364" t="s">
        <v>1348</v>
      </c>
      <c r="F471" s="254" t="s">
        <v>18</v>
      </c>
      <c r="G471" s="254">
        <v>3</v>
      </c>
      <c r="H471" s="255">
        <v>24.536602999999999</v>
      </c>
      <c r="I471" s="255">
        <f>0.5%*H471</f>
        <v>0.12268301500000001</v>
      </c>
      <c r="J471" s="255">
        <v>0</v>
      </c>
      <c r="K471" s="255">
        <v>0.123</v>
      </c>
      <c r="L471" s="255">
        <f t="shared" si="78"/>
        <v>2.0856112549999999</v>
      </c>
      <c r="M471" s="256">
        <v>0</v>
      </c>
      <c r="N471" s="255">
        <v>2.0859999999999999</v>
      </c>
      <c r="O471" s="255">
        <f t="shared" si="76"/>
        <v>2.2082942699999997</v>
      </c>
      <c r="P471" s="255">
        <v>2.2090000000000001</v>
      </c>
      <c r="Q471" s="255">
        <f t="shared" si="73"/>
        <v>-7.0573000000040409E-4</v>
      </c>
      <c r="R471" s="258"/>
      <c r="S471" s="254"/>
      <c r="T471" s="243"/>
      <c r="U471" s="243"/>
      <c r="V471" s="243"/>
    </row>
    <row r="472" spans="1:30" s="244" customFormat="1" ht="86.45" customHeight="1" x14ac:dyDescent="0.75">
      <c r="A472" s="332"/>
      <c r="B472" s="326"/>
      <c r="C472" s="332"/>
      <c r="D472" s="348"/>
      <c r="E472" s="364"/>
      <c r="F472" s="254" t="s">
        <v>20</v>
      </c>
      <c r="G472" s="254">
        <v>3</v>
      </c>
      <c r="H472" s="255">
        <v>32.498401999999999</v>
      </c>
      <c r="I472" s="255">
        <v>0.162492</v>
      </c>
      <c r="J472" s="255">
        <v>0</v>
      </c>
      <c r="K472" s="255">
        <v>0.16300000000000001</v>
      </c>
      <c r="L472" s="255">
        <f t="shared" si="78"/>
        <v>2.7623641700000001</v>
      </c>
      <c r="M472" s="256">
        <v>0</v>
      </c>
      <c r="N472" s="255">
        <v>2.7639999999999998</v>
      </c>
      <c r="O472" s="255">
        <f t="shared" si="76"/>
        <v>2.92485617</v>
      </c>
      <c r="P472" s="255">
        <v>2.927</v>
      </c>
      <c r="Q472" s="255">
        <f>O472-P472</f>
        <v>-2.1438300000000687E-3</v>
      </c>
      <c r="R472" s="258"/>
      <c r="S472" s="254"/>
      <c r="T472" s="243"/>
      <c r="U472" s="243"/>
      <c r="V472" s="243"/>
    </row>
    <row r="473" spans="1:30" ht="86.45" customHeight="1" x14ac:dyDescent="0.75">
      <c r="A473" s="333">
        <v>170</v>
      </c>
      <c r="B473" s="353" t="s">
        <v>900</v>
      </c>
      <c r="C473" s="333" t="s">
        <v>511</v>
      </c>
      <c r="D473" s="354">
        <v>28619022612</v>
      </c>
      <c r="E473" s="221"/>
      <c r="F473" s="216" t="s">
        <v>21</v>
      </c>
      <c r="G473" s="216">
        <v>8</v>
      </c>
      <c r="H473" s="233">
        <v>59.324714999999998</v>
      </c>
      <c r="I473" s="233">
        <f>+H473*0.01</f>
        <v>0.59324714999999995</v>
      </c>
      <c r="J473" s="233">
        <v>0</v>
      </c>
      <c r="K473" s="233">
        <f>(38+58+15+98+56+54+47+47+46+16+92)/1000</f>
        <v>0.56699999999999995</v>
      </c>
      <c r="L473" s="233">
        <f>+H473*(10/100)</f>
        <v>5.9324715000000001</v>
      </c>
      <c r="M473" s="237">
        <v>0</v>
      </c>
      <c r="N473" s="233">
        <f>(288+582+247+879+558+546+469+468+461+248+917)/1000</f>
        <v>5.6630000000000003</v>
      </c>
      <c r="O473" s="233">
        <f>+I473+L473</f>
        <v>6.52571865</v>
      </c>
      <c r="P473" s="233">
        <f>+((J473+K473)+(M473+N473))</f>
        <v>6.23</v>
      </c>
      <c r="Q473" s="233">
        <f>+O473-P473</f>
        <v>0.29571864999999953</v>
      </c>
      <c r="R473" s="217" t="s">
        <v>284</v>
      </c>
      <c r="S473" s="216" t="s">
        <v>488</v>
      </c>
      <c r="T473" s="222" t="s">
        <v>282</v>
      </c>
      <c r="U473" s="222" t="s">
        <v>283</v>
      </c>
      <c r="V473" s="222"/>
    </row>
    <row r="474" spans="1:30" ht="86.45" customHeight="1" x14ac:dyDescent="0.75">
      <c r="A474" s="333"/>
      <c r="B474" s="353"/>
      <c r="C474" s="333"/>
      <c r="D474" s="354"/>
      <c r="E474" s="221"/>
      <c r="F474" s="216" t="s">
        <v>22</v>
      </c>
      <c r="G474" s="216">
        <v>8</v>
      </c>
      <c r="H474" s="233">
        <f>50239217/1000000</f>
        <v>50.239216999999996</v>
      </c>
      <c r="I474" s="233">
        <f>+H474*0.02</f>
        <v>1.0047843400000001</v>
      </c>
      <c r="J474" s="233">
        <v>0</v>
      </c>
      <c r="K474" s="233">
        <f>((962)*1000)/1000000</f>
        <v>0.96199999999999997</v>
      </c>
      <c r="L474" s="233">
        <f>+H474*(10.5/100)</f>
        <v>5.2751177849999991</v>
      </c>
      <c r="M474" s="237">
        <v>0</v>
      </c>
      <c r="N474" s="233">
        <f>((1414+1040+2596)*1000)/1000000</f>
        <v>5.05</v>
      </c>
      <c r="O474" s="233">
        <f t="shared" si="76"/>
        <v>6.2799021249999996</v>
      </c>
      <c r="P474" s="233">
        <f t="shared" si="72"/>
        <v>6.0119999999999996</v>
      </c>
      <c r="Q474" s="233">
        <f t="shared" si="73"/>
        <v>0.26790212499999999</v>
      </c>
      <c r="R474" s="216" t="s">
        <v>19</v>
      </c>
      <c r="S474" s="217" t="s">
        <v>118</v>
      </c>
      <c r="T474" s="222" t="s">
        <v>282</v>
      </c>
      <c r="U474" s="222" t="s">
        <v>283</v>
      </c>
      <c r="V474" s="222"/>
      <c r="W474" s="14"/>
      <c r="X474" s="14"/>
      <c r="Y474" s="14"/>
      <c r="Z474" s="14"/>
      <c r="AA474" s="14"/>
      <c r="AB474" s="14"/>
      <c r="AC474" s="14"/>
      <c r="AD474" s="14"/>
    </row>
    <row r="475" spans="1:30" ht="86.45" customHeight="1" x14ac:dyDescent="0.75">
      <c r="A475" s="333"/>
      <c r="B475" s="353"/>
      <c r="C475" s="333"/>
      <c r="D475" s="354"/>
      <c r="E475" s="221"/>
      <c r="F475" s="216" t="s">
        <v>18</v>
      </c>
      <c r="G475" s="216">
        <v>7.8</v>
      </c>
      <c r="H475" s="233">
        <v>66.579936000000004</v>
      </c>
      <c r="I475" s="233">
        <f t="shared" ref="I475:I480" si="79">+H475*0.005</f>
        <v>0.33289968000000003</v>
      </c>
      <c r="J475" s="233">
        <v>0</v>
      </c>
      <c r="K475" s="233">
        <f>(83+161+74)*1000/1000000</f>
        <v>0.318</v>
      </c>
      <c r="L475" s="233">
        <f t="shared" ref="L475:L480" si="80">+H475*(8.5/100)</f>
        <v>5.6592945600000011</v>
      </c>
      <c r="M475" s="237">
        <v>0</v>
      </c>
      <c r="N475" s="233">
        <f>(1412+2747+1242)*1000/1000000</f>
        <v>5.4009999999999998</v>
      </c>
      <c r="O475" s="233">
        <f t="shared" si="76"/>
        <v>5.9921942400000008</v>
      </c>
      <c r="P475" s="233">
        <f t="shared" si="72"/>
        <v>5.7189999999999994</v>
      </c>
      <c r="Q475" s="233">
        <f t="shared" si="73"/>
        <v>0.27319424000000136</v>
      </c>
      <c r="R475" s="217" t="s">
        <v>284</v>
      </c>
      <c r="S475" s="216" t="s">
        <v>1067</v>
      </c>
      <c r="T475" s="222" t="s">
        <v>282</v>
      </c>
      <c r="U475" s="222" t="s">
        <v>283</v>
      </c>
      <c r="V475" s="222"/>
    </row>
    <row r="476" spans="1:30" ht="86.45" customHeight="1" x14ac:dyDescent="0.75">
      <c r="A476" s="333"/>
      <c r="B476" s="353"/>
      <c r="C476" s="333"/>
      <c r="D476" s="354"/>
      <c r="E476" s="221"/>
      <c r="F476" s="216" t="s">
        <v>20</v>
      </c>
      <c r="G476" s="216">
        <v>7.8</v>
      </c>
      <c r="H476" s="233">
        <v>67.614239999999995</v>
      </c>
      <c r="I476" s="233">
        <f t="shared" si="79"/>
        <v>0.33807119999999996</v>
      </c>
      <c r="J476" s="233">
        <v>0</v>
      </c>
      <c r="K476" s="233">
        <f>((1+82+86+128+27)*1000)/1000000</f>
        <v>0.32400000000000001</v>
      </c>
      <c r="L476" s="233">
        <f t="shared" si="80"/>
        <v>5.7472104000000002</v>
      </c>
      <c r="M476" s="237">
        <v>0</v>
      </c>
      <c r="N476" s="233">
        <f>((69+1397+1462+2124+449)*1000)/1000000</f>
        <v>5.5010000000000003</v>
      </c>
      <c r="O476" s="233">
        <f t="shared" si="76"/>
        <v>6.0852816000000001</v>
      </c>
      <c r="P476" s="233">
        <f t="shared" si="72"/>
        <v>5.8250000000000002</v>
      </c>
      <c r="Q476" s="233">
        <f t="shared" si="73"/>
        <v>0.26028159999999989</v>
      </c>
      <c r="R476" s="217" t="s">
        <v>284</v>
      </c>
      <c r="S476" s="216" t="s">
        <v>1068</v>
      </c>
      <c r="T476" s="222" t="s">
        <v>282</v>
      </c>
      <c r="U476" s="222" t="s">
        <v>283</v>
      </c>
      <c r="V476" s="222"/>
    </row>
    <row r="477" spans="1:30" ht="86.45" customHeight="1" x14ac:dyDescent="0.75">
      <c r="A477" s="333">
        <v>171</v>
      </c>
      <c r="B477" s="353" t="s">
        <v>832</v>
      </c>
      <c r="C477" s="333" t="s">
        <v>511</v>
      </c>
      <c r="D477" s="354">
        <v>172939030617</v>
      </c>
      <c r="E477" s="221"/>
      <c r="F477" s="216" t="s">
        <v>18</v>
      </c>
      <c r="G477" s="216">
        <v>1.5</v>
      </c>
      <c r="H477" s="233">
        <v>3.5909520000000001</v>
      </c>
      <c r="I477" s="233">
        <f t="shared" si="79"/>
        <v>1.795476E-2</v>
      </c>
      <c r="J477" s="233">
        <v>0</v>
      </c>
      <c r="K477" s="233">
        <v>0</v>
      </c>
      <c r="L477" s="233">
        <f t="shared" si="80"/>
        <v>0.30523092000000002</v>
      </c>
      <c r="M477" s="237">
        <v>0</v>
      </c>
      <c r="N477" s="233">
        <v>0</v>
      </c>
      <c r="O477" s="233">
        <f t="shared" si="76"/>
        <v>0.32318568000000003</v>
      </c>
      <c r="P477" s="233">
        <f t="shared" si="72"/>
        <v>0</v>
      </c>
      <c r="Q477" s="233">
        <f t="shared" si="73"/>
        <v>0.32318568000000003</v>
      </c>
      <c r="R477" s="217" t="s">
        <v>19</v>
      </c>
      <c r="S477" s="216" t="s">
        <v>346</v>
      </c>
      <c r="T477" s="222" t="s">
        <v>344</v>
      </c>
      <c r="U477" s="222"/>
      <c r="V477" s="222"/>
    </row>
    <row r="478" spans="1:30" ht="86.45" customHeight="1" x14ac:dyDescent="0.75">
      <c r="A478" s="333"/>
      <c r="B478" s="353"/>
      <c r="C478" s="333"/>
      <c r="D478" s="354"/>
      <c r="E478" s="221"/>
      <c r="F478" s="216" t="s">
        <v>20</v>
      </c>
      <c r="G478" s="216">
        <v>1.5</v>
      </c>
      <c r="H478" s="233">
        <v>14.667802</v>
      </c>
      <c r="I478" s="233">
        <f t="shared" si="79"/>
        <v>7.3339009999999996E-2</v>
      </c>
      <c r="J478" s="233">
        <v>0</v>
      </c>
      <c r="K478" s="233">
        <f>(((74)*1000)/1000000)</f>
        <v>7.3999999999999996E-2</v>
      </c>
      <c r="L478" s="233">
        <f t="shared" si="80"/>
        <v>1.2467631700000001</v>
      </c>
      <c r="M478" s="237">
        <v>0</v>
      </c>
      <c r="N478" s="233">
        <f>((1247*1000)/1000000)</f>
        <v>1.2470000000000001</v>
      </c>
      <c r="O478" s="233">
        <f t="shared" si="76"/>
        <v>1.3201021800000001</v>
      </c>
      <c r="P478" s="233">
        <f t="shared" si="72"/>
        <v>1.3210000000000002</v>
      </c>
      <c r="Q478" s="233">
        <f t="shared" si="73"/>
        <v>-8.9782000000004913E-4</v>
      </c>
      <c r="R478" s="217" t="s">
        <v>19</v>
      </c>
      <c r="S478" s="216" t="s">
        <v>977</v>
      </c>
      <c r="T478" s="222" t="s">
        <v>282</v>
      </c>
      <c r="U478" s="222" t="s">
        <v>310</v>
      </c>
      <c r="V478" s="222"/>
    </row>
    <row r="479" spans="1:30" ht="86.45" customHeight="1" x14ac:dyDescent="0.75">
      <c r="A479" s="216">
        <v>172</v>
      </c>
      <c r="B479" s="220" t="s">
        <v>833</v>
      </c>
      <c r="C479" s="216" t="s">
        <v>511</v>
      </c>
      <c r="D479" s="221">
        <v>510019001219</v>
      </c>
      <c r="E479" s="221"/>
      <c r="F479" s="216" t="s">
        <v>20</v>
      </c>
      <c r="G479" s="216">
        <v>3</v>
      </c>
      <c r="H479" s="233">
        <v>4.7590830000000004</v>
      </c>
      <c r="I479" s="233">
        <f t="shared" si="79"/>
        <v>2.3795415000000004E-2</v>
      </c>
      <c r="J479" s="233">
        <v>0</v>
      </c>
      <c r="K479" s="233">
        <f>(11+11)*1000/1000000</f>
        <v>2.1999999999999999E-2</v>
      </c>
      <c r="L479" s="233">
        <f t="shared" si="80"/>
        <v>0.40452205500000005</v>
      </c>
      <c r="M479" s="237">
        <v>0</v>
      </c>
      <c r="N479" s="233">
        <f>(177+188)*1000/1000000</f>
        <v>0.36499999999999999</v>
      </c>
      <c r="O479" s="233">
        <f t="shared" si="76"/>
        <v>0.42831747000000003</v>
      </c>
      <c r="P479" s="233">
        <f t="shared" si="72"/>
        <v>0.38700000000000001</v>
      </c>
      <c r="Q479" s="233">
        <f t="shared" si="73"/>
        <v>4.1317470000000023E-2</v>
      </c>
      <c r="R479" s="217" t="s">
        <v>284</v>
      </c>
      <c r="S479" s="216" t="s">
        <v>987</v>
      </c>
      <c r="T479" s="222" t="s">
        <v>282</v>
      </c>
      <c r="U479" s="222" t="s">
        <v>283</v>
      </c>
      <c r="V479" s="222"/>
    </row>
    <row r="480" spans="1:30" ht="86.45" customHeight="1" x14ac:dyDescent="0.75">
      <c r="A480" s="333">
        <v>173</v>
      </c>
      <c r="B480" s="353" t="s">
        <v>834</v>
      </c>
      <c r="C480" s="333" t="s">
        <v>511</v>
      </c>
      <c r="D480" s="354">
        <v>510019005980</v>
      </c>
      <c r="E480" s="221"/>
      <c r="F480" s="216" t="s">
        <v>20</v>
      </c>
      <c r="G480" s="216">
        <v>5</v>
      </c>
      <c r="H480" s="233">
        <v>30.826398999999999</v>
      </c>
      <c r="I480" s="233">
        <f t="shared" si="79"/>
        <v>0.15413199499999999</v>
      </c>
      <c r="J480" s="233">
        <v>0</v>
      </c>
      <c r="K480" s="233">
        <f>(20+20+20+57+22)*1000/1000000</f>
        <v>0.13900000000000001</v>
      </c>
      <c r="L480" s="233">
        <f t="shared" si="80"/>
        <v>2.6202439150000001</v>
      </c>
      <c r="M480" s="237">
        <v>0</v>
      </c>
      <c r="N480" s="233">
        <f>(300+300+400+997+366)*1000/1000000</f>
        <v>2.363</v>
      </c>
      <c r="O480" s="233">
        <f t="shared" si="76"/>
        <v>2.7743759100000003</v>
      </c>
      <c r="P480" s="233">
        <f t="shared" si="72"/>
        <v>2.5019999999999998</v>
      </c>
      <c r="Q480" s="233">
        <f t="shared" si="73"/>
        <v>0.2723759100000005</v>
      </c>
      <c r="R480" s="217" t="s">
        <v>284</v>
      </c>
      <c r="S480" s="216" t="s">
        <v>987</v>
      </c>
      <c r="T480" s="222" t="s">
        <v>282</v>
      </c>
      <c r="U480" s="222" t="s">
        <v>283</v>
      </c>
      <c r="V480" s="222"/>
    </row>
    <row r="481" spans="1:30" ht="86.45" customHeight="1" x14ac:dyDescent="0.75">
      <c r="A481" s="333"/>
      <c r="B481" s="353"/>
      <c r="C481" s="333"/>
      <c r="D481" s="354"/>
      <c r="E481" s="221"/>
      <c r="F481" s="216" t="s">
        <v>21</v>
      </c>
      <c r="G481" s="216">
        <v>6.3</v>
      </c>
      <c r="H481" s="233">
        <v>19.091605000000001</v>
      </c>
      <c r="I481" s="233">
        <f>+H481*0.01</f>
        <v>0.19091605</v>
      </c>
      <c r="J481" s="233">
        <v>0</v>
      </c>
      <c r="K481" s="233">
        <f>171/1000</f>
        <v>0.17100000000000001</v>
      </c>
      <c r="L481" s="233">
        <f>+H481*(10/100)</f>
        <v>1.9091605000000003</v>
      </c>
      <c r="M481" s="237">
        <v>0</v>
      </c>
      <c r="N481" s="233">
        <f>1535/1000</f>
        <v>1.5349999999999999</v>
      </c>
      <c r="O481" s="233">
        <f t="shared" si="76"/>
        <v>2.1000765500000003</v>
      </c>
      <c r="P481" s="233">
        <f t="shared" si="72"/>
        <v>1.706</v>
      </c>
      <c r="Q481" s="233">
        <f t="shared" si="73"/>
        <v>0.3940765500000003</v>
      </c>
      <c r="R481" s="217" t="s">
        <v>284</v>
      </c>
      <c r="S481" s="216" t="s">
        <v>487</v>
      </c>
      <c r="T481" s="222" t="s">
        <v>282</v>
      </c>
      <c r="U481" s="222" t="s">
        <v>283</v>
      </c>
      <c r="V481" s="222"/>
    </row>
    <row r="482" spans="1:30" ht="86.45" customHeight="1" x14ac:dyDescent="0.75">
      <c r="A482" s="216">
        <v>174</v>
      </c>
      <c r="B482" s="220" t="s">
        <v>1293</v>
      </c>
      <c r="C482" s="216" t="s">
        <v>511</v>
      </c>
      <c r="D482" s="221">
        <v>510019006390</v>
      </c>
      <c r="E482" s="221"/>
      <c r="F482" s="216" t="s">
        <v>20</v>
      </c>
      <c r="G482" s="216">
        <v>4</v>
      </c>
      <c r="H482" s="233">
        <v>3.2755700000000001</v>
      </c>
      <c r="I482" s="233">
        <f t="shared" ref="I482:I491" si="81">+H482*0.005</f>
        <v>1.6377849999999999E-2</v>
      </c>
      <c r="J482" s="233">
        <v>0</v>
      </c>
      <c r="K482" s="233">
        <f>(15)*1000/1000000</f>
        <v>1.4999999999999999E-2</v>
      </c>
      <c r="L482" s="233">
        <f t="shared" ref="L482:L491" si="82">+H482*(8.5/100)</f>
        <v>0.27842345000000002</v>
      </c>
      <c r="M482" s="237">
        <v>0</v>
      </c>
      <c r="N482" s="233">
        <f>(250)*1000/1000000</f>
        <v>0.25</v>
      </c>
      <c r="O482" s="233">
        <f t="shared" si="76"/>
        <v>0.29480130000000004</v>
      </c>
      <c r="P482" s="233">
        <f t="shared" si="72"/>
        <v>0.26500000000000001</v>
      </c>
      <c r="Q482" s="233">
        <f t="shared" si="73"/>
        <v>2.9801300000000031E-2</v>
      </c>
      <c r="R482" s="217" t="s">
        <v>284</v>
      </c>
      <c r="S482" s="216" t="s">
        <v>987</v>
      </c>
      <c r="T482" s="222" t="s">
        <v>282</v>
      </c>
      <c r="U482" s="222" t="s">
        <v>283</v>
      </c>
      <c r="V482" s="222"/>
    </row>
    <row r="483" spans="1:30" ht="86.45" customHeight="1" x14ac:dyDescent="0.75">
      <c r="A483" s="216">
        <v>175</v>
      </c>
      <c r="B483" s="220" t="s">
        <v>835</v>
      </c>
      <c r="C483" s="216" t="s">
        <v>511</v>
      </c>
      <c r="D483" s="221">
        <v>493019040750</v>
      </c>
      <c r="E483" s="221"/>
      <c r="F483" s="216" t="s">
        <v>20</v>
      </c>
      <c r="G483" s="216">
        <v>4.5</v>
      </c>
      <c r="H483" s="233">
        <v>7.4603250000000001</v>
      </c>
      <c r="I483" s="233">
        <f t="shared" si="81"/>
        <v>3.7301624999999998E-2</v>
      </c>
      <c r="J483" s="233">
        <v>0</v>
      </c>
      <c r="K483" s="233">
        <v>0</v>
      </c>
      <c r="L483" s="233">
        <f t="shared" si="82"/>
        <v>0.63412762500000008</v>
      </c>
      <c r="M483" s="237">
        <v>0</v>
      </c>
      <c r="N483" s="233">
        <v>0</v>
      </c>
      <c r="O483" s="233">
        <f t="shared" si="76"/>
        <v>0.67142925000000009</v>
      </c>
      <c r="P483" s="233">
        <f t="shared" si="72"/>
        <v>0</v>
      </c>
      <c r="Q483" s="233">
        <f t="shared" si="73"/>
        <v>0.67142925000000009</v>
      </c>
      <c r="R483" s="217" t="s">
        <v>19</v>
      </c>
      <c r="S483" s="216" t="s">
        <v>446</v>
      </c>
      <c r="T483" s="222" t="s">
        <v>344</v>
      </c>
      <c r="U483" s="222"/>
      <c r="V483" s="222"/>
    </row>
    <row r="484" spans="1:30" ht="86.45" customHeight="1" x14ac:dyDescent="0.75">
      <c r="A484" s="333">
        <v>176</v>
      </c>
      <c r="B484" s="353" t="s">
        <v>836</v>
      </c>
      <c r="C484" s="333" t="s">
        <v>511</v>
      </c>
      <c r="D484" s="354">
        <v>184059032630</v>
      </c>
      <c r="E484" s="221"/>
      <c r="F484" s="216" t="s">
        <v>18</v>
      </c>
      <c r="G484" s="216">
        <v>1</v>
      </c>
      <c r="H484" s="233">
        <v>7.9647290000000002</v>
      </c>
      <c r="I484" s="233">
        <f t="shared" si="81"/>
        <v>3.9823645000000005E-2</v>
      </c>
      <c r="J484" s="233">
        <v>0</v>
      </c>
      <c r="K484" s="233">
        <f>(4+3+2+3+4+6+4+4+5)*1000/1000000</f>
        <v>3.5000000000000003E-2</v>
      </c>
      <c r="L484" s="233">
        <f t="shared" si="82"/>
        <v>0.67700196500000009</v>
      </c>
      <c r="M484" s="237">
        <v>0</v>
      </c>
      <c r="N484" s="233">
        <f>(86+62+59+111+59+63+36+57+50)*1000/1000000</f>
        <v>0.58299999999999996</v>
      </c>
      <c r="O484" s="233">
        <f t="shared" si="76"/>
        <v>0.71682561000000011</v>
      </c>
      <c r="P484" s="233">
        <f t="shared" si="72"/>
        <v>0.61799999999999999</v>
      </c>
      <c r="Q484" s="233">
        <f t="shared" si="73"/>
        <v>9.8825610000000119E-2</v>
      </c>
      <c r="R484" s="217" t="s">
        <v>277</v>
      </c>
      <c r="S484" s="216" t="s">
        <v>1069</v>
      </c>
      <c r="T484" s="219" t="s">
        <v>279</v>
      </c>
      <c r="U484" s="219" t="s">
        <v>280</v>
      </c>
      <c r="V484" s="219"/>
      <c r="W484" s="1"/>
      <c r="X484" s="1"/>
      <c r="Y484" s="1"/>
      <c r="Z484" s="1"/>
      <c r="AA484" s="1"/>
      <c r="AB484" s="1"/>
      <c r="AC484" s="1"/>
      <c r="AD484" s="1"/>
    </row>
    <row r="485" spans="1:30" ht="86.45" customHeight="1" x14ac:dyDescent="0.75">
      <c r="A485" s="333"/>
      <c r="B485" s="353"/>
      <c r="C485" s="333"/>
      <c r="D485" s="354"/>
      <c r="E485" s="221"/>
      <c r="F485" s="216" t="s">
        <v>20</v>
      </c>
      <c r="G485" s="216">
        <v>1.3</v>
      </c>
      <c r="H485" s="233">
        <v>12.724080000000001</v>
      </c>
      <c r="I485" s="233">
        <f>+H485*0.005</f>
        <v>6.3620400000000008E-2</v>
      </c>
      <c r="J485" s="233">
        <v>0</v>
      </c>
      <c r="K485" s="233">
        <v>0</v>
      </c>
      <c r="L485" s="233">
        <f>+H485*(8.5/100)</f>
        <v>1.0815468000000001</v>
      </c>
      <c r="M485" s="237">
        <v>0</v>
      </c>
      <c r="N485" s="233">
        <v>0</v>
      </c>
      <c r="O485" s="233">
        <f>+I485+L485</f>
        <v>1.1451672000000002</v>
      </c>
      <c r="P485" s="233">
        <f>+((J485+K485)+(M485+N485))</f>
        <v>0</v>
      </c>
      <c r="Q485" s="233">
        <f>+O485-P485</f>
        <v>1.1451672000000002</v>
      </c>
      <c r="R485" s="217" t="s">
        <v>19</v>
      </c>
      <c r="S485" s="216" t="s">
        <v>449</v>
      </c>
      <c r="T485" s="222" t="s">
        <v>344</v>
      </c>
      <c r="U485" s="222"/>
      <c r="V485" s="222"/>
    </row>
    <row r="486" spans="1:30" ht="86.45" customHeight="1" x14ac:dyDescent="0.75">
      <c r="A486" s="333">
        <v>177</v>
      </c>
      <c r="B486" s="353" t="s">
        <v>688</v>
      </c>
      <c r="C486" s="333" t="s">
        <v>511</v>
      </c>
      <c r="D486" s="354">
        <v>186849005495</v>
      </c>
      <c r="E486" s="221"/>
      <c r="F486" s="216" t="s">
        <v>18</v>
      </c>
      <c r="G486" s="216">
        <v>8.6999999999999993</v>
      </c>
      <c r="H486" s="233">
        <v>4.2</v>
      </c>
      <c r="I486" s="233">
        <f t="shared" si="81"/>
        <v>2.1000000000000001E-2</v>
      </c>
      <c r="J486" s="233">
        <v>0</v>
      </c>
      <c r="K486" s="233">
        <f>(18*1000)/1000000</f>
        <v>1.7999999999999999E-2</v>
      </c>
      <c r="L486" s="233">
        <f t="shared" si="82"/>
        <v>0.35700000000000004</v>
      </c>
      <c r="M486" s="237">
        <v>0</v>
      </c>
      <c r="N486" s="233">
        <f>(309*1000)/1000000</f>
        <v>0.309</v>
      </c>
      <c r="O486" s="233">
        <f t="shared" si="76"/>
        <v>0.37800000000000006</v>
      </c>
      <c r="P486" s="233">
        <f t="shared" si="72"/>
        <v>0.32700000000000001</v>
      </c>
      <c r="Q486" s="233">
        <f t="shared" si="73"/>
        <v>5.1000000000000045E-2</v>
      </c>
      <c r="R486" s="217" t="s">
        <v>284</v>
      </c>
      <c r="S486" s="216" t="s">
        <v>1070</v>
      </c>
      <c r="T486" s="222" t="s">
        <v>282</v>
      </c>
      <c r="U486" s="222" t="s">
        <v>283</v>
      </c>
      <c r="V486" s="222"/>
    </row>
    <row r="487" spans="1:30" ht="86.45" customHeight="1" x14ac:dyDescent="0.75">
      <c r="A487" s="333"/>
      <c r="B487" s="353"/>
      <c r="C487" s="333"/>
      <c r="D487" s="354"/>
      <c r="E487" s="221"/>
      <c r="F487" s="216" t="s">
        <v>20</v>
      </c>
      <c r="G487" s="216">
        <v>8.6999999999999993</v>
      </c>
      <c r="H487" s="233">
        <v>17.627276999999999</v>
      </c>
      <c r="I487" s="233">
        <f t="shared" si="81"/>
        <v>8.8136384999999998E-2</v>
      </c>
      <c r="J487" s="233">
        <v>0</v>
      </c>
      <c r="K487" s="233">
        <v>0</v>
      </c>
      <c r="L487" s="233">
        <f t="shared" si="82"/>
        <v>1.4983185450000001</v>
      </c>
      <c r="M487" s="237">
        <v>5.21E-2</v>
      </c>
      <c r="N487" s="233">
        <f>1.219</f>
        <v>1.2190000000000001</v>
      </c>
      <c r="O487" s="233">
        <f t="shared" si="76"/>
        <v>1.5864549300000002</v>
      </c>
      <c r="P487" s="233">
        <f t="shared" si="72"/>
        <v>1.2711000000000001</v>
      </c>
      <c r="Q487" s="233">
        <f t="shared" si="73"/>
        <v>0.31535493000000003</v>
      </c>
      <c r="R487" s="217" t="s">
        <v>284</v>
      </c>
      <c r="S487" s="216" t="s">
        <v>1008</v>
      </c>
      <c r="T487" s="222" t="s">
        <v>282</v>
      </c>
      <c r="U487" s="222" t="s">
        <v>283</v>
      </c>
      <c r="V487" s="222"/>
    </row>
    <row r="488" spans="1:30" ht="86.45" customHeight="1" x14ac:dyDescent="0.75">
      <c r="A488" s="330">
        <v>178</v>
      </c>
      <c r="B488" s="324" t="s">
        <v>1414</v>
      </c>
      <c r="C488" s="330" t="s">
        <v>511</v>
      </c>
      <c r="D488" s="347">
        <v>57469020390</v>
      </c>
      <c r="E488" s="221" t="s">
        <v>1298</v>
      </c>
      <c r="F488" s="216" t="s">
        <v>20</v>
      </c>
      <c r="G488" s="216">
        <v>3</v>
      </c>
      <c r="H488" s="233">
        <v>1.479336</v>
      </c>
      <c r="I488" s="233">
        <f t="shared" si="81"/>
        <v>7.3966800000000001E-3</v>
      </c>
      <c r="J488" s="233">
        <v>0</v>
      </c>
      <c r="K488" s="233">
        <f>((8)*1000/1000000)</f>
        <v>8.0000000000000002E-3</v>
      </c>
      <c r="L488" s="233">
        <f t="shared" si="82"/>
        <v>0.12574356</v>
      </c>
      <c r="M488" s="237">
        <v>0</v>
      </c>
      <c r="N488" s="233">
        <f>((126)*1000/1000000)</f>
        <v>0.126</v>
      </c>
      <c r="O488" s="233">
        <f t="shared" si="76"/>
        <v>0.13314023999999999</v>
      </c>
      <c r="P488" s="233">
        <f t="shared" si="72"/>
        <v>0.13400000000000001</v>
      </c>
      <c r="Q488" s="233">
        <f t="shared" si="73"/>
        <v>-8.5976000000001496E-4</v>
      </c>
      <c r="R488" s="217" t="s">
        <v>284</v>
      </c>
      <c r="S488" s="216" t="s">
        <v>1008</v>
      </c>
      <c r="T488" s="222" t="s">
        <v>282</v>
      </c>
      <c r="U488" s="222" t="s">
        <v>310</v>
      </c>
      <c r="V488" s="222"/>
    </row>
    <row r="489" spans="1:30" ht="86.45" customHeight="1" x14ac:dyDescent="0.75">
      <c r="A489" s="332"/>
      <c r="B489" s="326"/>
      <c r="C489" s="332"/>
      <c r="D489" s="348"/>
      <c r="E489" s="260" t="s">
        <v>1415</v>
      </c>
      <c r="F489" s="254" t="s">
        <v>20</v>
      </c>
      <c r="G489" s="254">
        <v>3</v>
      </c>
      <c r="H489" s="255">
        <v>1.4790000000000001</v>
      </c>
      <c r="I489" s="255">
        <f t="shared" si="81"/>
        <v>7.3950000000000005E-3</v>
      </c>
      <c r="J489" s="255">
        <v>0</v>
      </c>
      <c r="K489" s="255">
        <v>8.0000000000000002E-3</v>
      </c>
      <c r="L489" s="255">
        <f t="shared" si="82"/>
        <v>0.12571500000000002</v>
      </c>
      <c r="M489" s="256">
        <v>0</v>
      </c>
      <c r="N489" s="255">
        <v>0.126</v>
      </c>
      <c r="O489" s="255">
        <v>0.13300000000000001</v>
      </c>
      <c r="P489" s="255">
        <v>0.13400000000000001</v>
      </c>
      <c r="Q489" s="255">
        <v>0</v>
      </c>
      <c r="R489" s="258"/>
      <c r="S489" s="254"/>
      <c r="T489" s="222"/>
      <c r="U489" s="222"/>
      <c r="V489" s="222"/>
    </row>
    <row r="490" spans="1:30" s="244" customFormat="1" ht="86.45" customHeight="1" x14ac:dyDescent="0.75">
      <c r="A490" s="330">
        <v>179</v>
      </c>
      <c r="B490" s="324" t="s">
        <v>837</v>
      </c>
      <c r="C490" s="330" t="s">
        <v>511</v>
      </c>
      <c r="D490" s="347">
        <v>38749024760</v>
      </c>
      <c r="E490" s="347" t="s">
        <v>1298</v>
      </c>
      <c r="F490" s="216" t="s">
        <v>18</v>
      </c>
      <c r="G490" s="216">
        <v>15</v>
      </c>
      <c r="H490" s="233">
        <v>64.519679999999994</v>
      </c>
      <c r="I490" s="233">
        <f t="shared" si="81"/>
        <v>0.32259839999999995</v>
      </c>
      <c r="J490" s="233">
        <v>0</v>
      </c>
      <c r="K490" s="233">
        <v>0</v>
      </c>
      <c r="L490" s="233">
        <f t="shared" si="82"/>
        <v>5.4841727999999996</v>
      </c>
      <c r="M490" s="237">
        <v>0</v>
      </c>
      <c r="N490" s="233">
        <v>0</v>
      </c>
      <c r="O490" s="233">
        <f t="shared" si="76"/>
        <v>5.8067712</v>
      </c>
      <c r="P490" s="233">
        <f t="shared" si="72"/>
        <v>0</v>
      </c>
      <c r="Q490" s="233">
        <f t="shared" si="73"/>
        <v>5.8067712</v>
      </c>
      <c r="R490" s="217" t="s">
        <v>19</v>
      </c>
      <c r="S490" s="216" t="s">
        <v>346</v>
      </c>
      <c r="T490" s="243" t="s">
        <v>344</v>
      </c>
      <c r="U490" s="243"/>
      <c r="V490" s="243"/>
    </row>
    <row r="491" spans="1:30" s="244" customFormat="1" ht="86.45" customHeight="1" x14ac:dyDescent="0.75">
      <c r="A491" s="331"/>
      <c r="B491" s="325"/>
      <c r="C491" s="331"/>
      <c r="D491" s="349"/>
      <c r="E491" s="349"/>
      <c r="F491" s="216" t="s">
        <v>20</v>
      </c>
      <c r="G491" s="216">
        <v>25</v>
      </c>
      <c r="H491" s="233">
        <v>54.780380000000001</v>
      </c>
      <c r="I491" s="233">
        <f t="shared" si="81"/>
        <v>0.27390190000000003</v>
      </c>
      <c r="J491" s="233">
        <v>0</v>
      </c>
      <c r="K491" s="233">
        <f>((35+178+40+22)*1000/1000000)</f>
        <v>0.27500000000000002</v>
      </c>
      <c r="L491" s="233">
        <f t="shared" si="82"/>
        <v>4.6563323000000008</v>
      </c>
      <c r="M491" s="237">
        <v>0</v>
      </c>
      <c r="N491" s="233">
        <f>((361+663+500+3133)*1000/1000000)</f>
        <v>4.657</v>
      </c>
      <c r="O491" s="233">
        <f t="shared" si="76"/>
        <v>4.930234200000001</v>
      </c>
      <c r="P491" s="233">
        <f t="shared" si="72"/>
        <v>4.9320000000000004</v>
      </c>
      <c r="Q491" s="233">
        <f t="shared" si="73"/>
        <v>-1.7657999999993734E-3</v>
      </c>
      <c r="R491" s="217" t="s">
        <v>284</v>
      </c>
      <c r="S491" s="216" t="s">
        <v>995</v>
      </c>
      <c r="T491" s="243" t="s">
        <v>282</v>
      </c>
      <c r="U491" s="243" t="s">
        <v>310</v>
      </c>
      <c r="V491" s="243"/>
    </row>
    <row r="492" spans="1:30" s="244" customFormat="1" ht="86.45" customHeight="1" x14ac:dyDescent="0.75">
      <c r="A492" s="331"/>
      <c r="B492" s="325"/>
      <c r="C492" s="331"/>
      <c r="D492" s="349"/>
      <c r="E492" s="349"/>
      <c r="F492" s="216" t="s">
        <v>21</v>
      </c>
      <c r="G492" s="216">
        <v>25</v>
      </c>
      <c r="H492" s="233">
        <v>156.43657300000001</v>
      </c>
      <c r="I492" s="233">
        <f>+H492*0.01</f>
        <v>1.5643657300000002</v>
      </c>
      <c r="J492" s="233">
        <v>0</v>
      </c>
      <c r="K492" s="233">
        <f>((104+97+22+211+104+97+111+122+125+74+133+130+144)*1000)/1000000</f>
        <v>1.474</v>
      </c>
      <c r="L492" s="233">
        <f>+H492*(10/100)</f>
        <v>15.643657300000001</v>
      </c>
      <c r="M492" s="237">
        <v>0</v>
      </c>
      <c r="N492" s="233">
        <f>((1042+971+361+1973+3123+1224+1247+740+1332+1306+1434)*1000)/1000000</f>
        <v>14.753</v>
      </c>
      <c r="O492" s="233">
        <f t="shared" si="76"/>
        <v>17.20802303</v>
      </c>
      <c r="P492" s="233">
        <f t="shared" si="72"/>
        <v>16.227</v>
      </c>
      <c r="Q492" s="233">
        <f t="shared" si="73"/>
        <v>0.98102302999999935</v>
      </c>
      <c r="R492" s="217" t="s">
        <v>307</v>
      </c>
      <c r="S492" s="216" t="s">
        <v>1071</v>
      </c>
      <c r="T492" s="243" t="s">
        <v>282</v>
      </c>
      <c r="U492" s="243" t="s">
        <v>283</v>
      </c>
      <c r="V492" s="243"/>
    </row>
    <row r="493" spans="1:30" s="244" customFormat="1" ht="86.45" customHeight="1" x14ac:dyDescent="0.75">
      <c r="A493" s="331"/>
      <c r="B493" s="325"/>
      <c r="C493" s="331"/>
      <c r="D493" s="349"/>
      <c r="E493" s="349"/>
      <c r="F493" s="216" t="s">
        <v>22</v>
      </c>
      <c r="G493" s="216">
        <v>30</v>
      </c>
      <c r="H493" s="233">
        <f>80643120/1000000</f>
        <v>80.643119999999996</v>
      </c>
      <c r="I493" s="233">
        <f>+H493*0.02</f>
        <v>1.6128624</v>
      </c>
      <c r="J493" s="233">
        <v>0</v>
      </c>
      <c r="K493" s="233">
        <f>(1526*1000)/1000000</f>
        <v>1.526</v>
      </c>
      <c r="L493" s="233">
        <f>+H493*(10.5/100)</f>
        <v>8.4675275999999986</v>
      </c>
      <c r="M493" s="237">
        <v>0</v>
      </c>
      <c r="N493" s="233">
        <f>((641+7369)*1000)/1000000</f>
        <v>8.01</v>
      </c>
      <c r="O493" s="233">
        <f>+I493+L493</f>
        <v>10.080389999999998</v>
      </c>
      <c r="P493" s="233">
        <f>+((J493+K493)+(M493+N493))</f>
        <v>9.5359999999999996</v>
      </c>
      <c r="Q493" s="233">
        <f>+O493-P493</f>
        <v>0.54438999999999815</v>
      </c>
      <c r="R493" s="216" t="s">
        <v>19</v>
      </c>
      <c r="S493" s="216" t="s">
        <v>119</v>
      </c>
      <c r="T493" s="243" t="s">
        <v>282</v>
      </c>
      <c r="U493" s="243" t="s">
        <v>283</v>
      </c>
      <c r="V493" s="243"/>
      <c r="W493" s="245"/>
      <c r="X493" s="245"/>
      <c r="Y493" s="245"/>
      <c r="Z493" s="245"/>
      <c r="AA493" s="245"/>
      <c r="AB493" s="245"/>
      <c r="AC493" s="245"/>
      <c r="AD493" s="245"/>
    </row>
    <row r="494" spans="1:30" s="244" customFormat="1" ht="86.45" customHeight="1" x14ac:dyDescent="0.75">
      <c r="A494" s="331"/>
      <c r="B494" s="325"/>
      <c r="C494" s="331"/>
      <c r="D494" s="349"/>
      <c r="E494" s="348"/>
      <c r="F494" s="216" t="s">
        <v>27</v>
      </c>
      <c r="G494" s="223">
        <v>15</v>
      </c>
      <c r="H494" s="234">
        <v>56.887999999999998</v>
      </c>
      <c r="I494" s="234">
        <f>+H494*(3.5/100)</f>
        <v>1.9910800000000002</v>
      </c>
      <c r="J494" s="234">
        <v>0</v>
      </c>
      <c r="K494" s="234">
        <f>(0*1000)/1000000</f>
        <v>0</v>
      </c>
      <c r="L494" s="234">
        <f>+H494*(11.5/100)</f>
        <v>6.5421199999999997</v>
      </c>
      <c r="M494" s="238">
        <v>6.3460000000000001</v>
      </c>
      <c r="N494" s="234">
        <f>((0)*1000)/1000000</f>
        <v>0</v>
      </c>
      <c r="O494" s="234">
        <f t="shared" si="76"/>
        <v>8.5332000000000008</v>
      </c>
      <c r="P494" s="233">
        <f t="shared" si="72"/>
        <v>6.3460000000000001</v>
      </c>
      <c r="Q494" s="233">
        <f t="shared" si="73"/>
        <v>2.1872000000000007</v>
      </c>
      <c r="R494" s="217" t="s">
        <v>500</v>
      </c>
      <c r="S494" s="216" t="s">
        <v>120</v>
      </c>
      <c r="T494" s="243" t="s">
        <v>282</v>
      </c>
      <c r="U494" s="243" t="s">
        <v>283</v>
      </c>
      <c r="V494" s="243"/>
      <c r="W494" s="245"/>
      <c r="X494" s="245"/>
      <c r="Y494" s="245"/>
      <c r="Z494" s="245"/>
      <c r="AA494" s="245"/>
      <c r="AB494" s="245"/>
      <c r="AC494" s="245"/>
      <c r="AD494" s="245"/>
    </row>
    <row r="495" spans="1:30" s="244" customFormat="1" ht="86.45" customHeight="1" x14ac:dyDescent="0.75">
      <c r="A495" s="331"/>
      <c r="B495" s="325"/>
      <c r="C495" s="331"/>
      <c r="D495" s="349"/>
      <c r="E495" s="350" t="s">
        <v>1349</v>
      </c>
      <c r="F495" s="254" t="s">
        <v>18</v>
      </c>
      <c r="G495" s="265">
        <v>15</v>
      </c>
      <c r="H495" s="266">
        <v>61.77</v>
      </c>
      <c r="I495" s="266">
        <v>0.309</v>
      </c>
      <c r="J495" s="266">
        <v>0</v>
      </c>
      <c r="K495" s="266">
        <v>0.309</v>
      </c>
      <c r="L495" s="266">
        <v>5.25</v>
      </c>
      <c r="M495" s="267">
        <v>0</v>
      </c>
      <c r="N495" s="266">
        <v>5.2530000000000001</v>
      </c>
      <c r="O495" s="266">
        <f t="shared" si="76"/>
        <v>5.5590000000000002</v>
      </c>
      <c r="P495" s="255">
        <f t="shared" si="72"/>
        <v>5.5620000000000003</v>
      </c>
      <c r="Q495" s="255">
        <f t="shared" si="73"/>
        <v>-3.0000000000001137E-3</v>
      </c>
      <c r="R495" s="258"/>
      <c r="S495" s="254"/>
      <c r="T495" s="243"/>
      <c r="U495" s="243"/>
      <c r="V495" s="243"/>
      <c r="W495" s="245"/>
      <c r="X495" s="245"/>
      <c r="Y495" s="245"/>
      <c r="Z495" s="245"/>
      <c r="AA495" s="245"/>
      <c r="AB495" s="245"/>
      <c r="AC495" s="245"/>
      <c r="AD495" s="245"/>
    </row>
    <row r="496" spans="1:30" s="244" customFormat="1" ht="86.45" customHeight="1" x14ac:dyDescent="0.75">
      <c r="A496" s="331"/>
      <c r="B496" s="325"/>
      <c r="C496" s="331"/>
      <c r="D496" s="349"/>
      <c r="E496" s="351"/>
      <c r="F496" s="254" t="s">
        <v>20</v>
      </c>
      <c r="G496" s="265">
        <v>25</v>
      </c>
      <c r="H496" s="266">
        <v>50.84</v>
      </c>
      <c r="I496" s="266">
        <v>0.254</v>
      </c>
      <c r="J496" s="266">
        <v>0</v>
      </c>
      <c r="K496" s="266">
        <v>0.27500000000000002</v>
      </c>
      <c r="L496" s="266">
        <v>4.32</v>
      </c>
      <c r="M496" s="267">
        <v>0</v>
      </c>
      <c r="N496" s="266">
        <v>4.657</v>
      </c>
      <c r="O496" s="266">
        <f t="shared" si="76"/>
        <v>4.5739999999999998</v>
      </c>
      <c r="P496" s="255">
        <f t="shared" si="72"/>
        <v>4.9320000000000004</v>
      </c>
      <c r="Q496" s="255">
        <v>-0.35599999999999998</v>
      </c>
      <c r="R496" s="258"/>
      <c r="S496" s="254"/>
      <c r="T496" s="243"/>
      <c r="U496" s="243"/>
      <c r="V496" s="243"/>
      <c r="W496" s="245"/>
      <c r="X496" s="245"/>
      <c r="Y496" s="245"/>
      <c r="Z496" s="245"/>
      <c r="AA496" s="245"/>
      <c r="AB496" s="245"/>
      <c r="AC496" s="245"/>
      <c r="AD496" s="245"/>
    </row>
    <row r="497" spans="1:30" s="244" customFormat="1" ht="86.45" customHeight="1" x14ac:dyDescent="0.75">
      <c r="A497" s="331"/>
      <c r="B497" s="325"/>
      <c r="C497" s="331"/>
      <c r="D497" s="349"/>
      <c r="E497" s="351"/>
      <c r="F497" s="254" t="s">
        <v>21</v>
      </c>
      <c r="G497" s="265">
        <v>25</v>
      </c>
      <c r="H497" s="266">
        <v>147.52000000000001</v>
      </c>
      <c r="I497" s="266">
        <v>1.4750000000000001</v>
      </c>
      <c r="J497" s="266">
        <v>0</v>
      </c>
      <c r="K497" s="266">
        <v>1.474</v>
      </c>
      <c r="L497" s="266">
        <v>14.75</v>
      </c>
      <c r="M497" s="267">
        <v>0</v>
      </c>
      <c r="N497" s="266">
        <v>14.753</v>
      </c>
      <c r="O497" s="266">
        <f t="shared" si="76"/>
        <v>16.225000000000001</v>
      </c>
      <c r="P497" s="255">
        <f t="shared" si="72"/>
        <v>16.227</v>
      </c>
      <c r="Q497" s="255">
        <f t="shared" si="73"/>
        <v>-1.9999999999988916E-3</v>
      </c>
      <c r="R497" s="258"/>
      <c r="S497" s="254"/>
      <c r="T497" s="243"/>
      <c r="U497" s="243"/>
      <c r="V497" s="243"/>
      <c r="W497" s="245"/>
      <c r="X497" s="245"/>
      <c r="Y497" s="245"/>
      <c r="Z497" s="245"/>
      <c r="AA497" s="245"/>
      <c r="AB497" s="245"/>
      <c r="AC497" s="245"/>
      <c r="AD497" s="245"/>
    </row>
    <row r="498" spans="1:30" s="244" customFormat="1" ht="86.45" customHeight="1" x14ac:dyDescent="0.75">
      <c r="A498" s="331"/>
      <c r="B498" s="325"/>
      <c r="C498" s="331"/>
      <c r="D498" s="349"/>
      <c r="E498" s="351"/>
      <c r="F498" s="254" t="s">
        <v>22</v>
      </c>
      <c r="G498" s="265">
        <v>30</v>
      </c>
      <c r="H498" s="266">
        <v>76.27</v>
      </c>
      <c r="I498" s="266">
        <v>1.5249999999999999</v>
      </c>
      <c r="J498" s="266">
        <v>0</v>
      </c>
      <c r="K498" s="266">
        <v>1.526</v>
      </c>
      <c r="L498" s="266">
        <v>8.0079999999999991</v>
      </c>
      <c r="M498" s="267">
        <v>0</v>
      </c>
      <c r="N498" s="266">
        <v>8.01</v>
      </c>
      <c r="O498" s="266">
        <f t="shared" si="76"/>
        <v>9.5329999999999995</v>
      </c>
      <c r="P498" s="255">
        <f t="shared" si="72"/>
        <v>9.5359999999999996</v>
      </c>
      <c r="Q498" s="255">
        <v>-2E-3</v>
      </c>
      <c r="R498" s="258"/>
      <c r="S498" s="254"/>
      <c r="T498" s="243"/>
      <c r="U498" s="243"/>
      <c r="V498" s="243"/>
      <c r="W498" s="245"/>
      <c r="X498" s="245"/>
      <c r="Y498" s="245"/>
      <c r="Z498" s="245"/>
      <c r="AA498" s="245"/>
      <c r="AB498" s="245"/>
      <c r="AC498" s="245"/>
      <c r="AD498" s="245"/>
    </row>
    <row r="499" spans="1:30" s="244" customFormat="1" ht="86.45" customHeight="1" x14ac:dyDescent="0.75">
      <c r="A499" s="332"/>
      <c r="B499" s="326"/>
      <c r="C499" s="332"/>
      <c r="D499" s="348"/>
      <c r="E499" s="352"/>
      <c r="F499" s="254" t="s">
        <v>27</v>
      </c>
      <c r="G499" s="265">
        <v>15</v>
      </c>
      <c r="H499" s="266">
        <v>54.902999999999999</v>
      </c>
      <c r="I499" s="266">
        <v>1.9219999999999999</v>
      </c>
      <c r="J499" s="266">
        <v>0</v>
      </c>
      <c r="K499" s="266">
        <v>2.06</v>
      </c>
      <c r="L499" s="266">
        <v>6.3140000000000001</v>
      </c>
      <c r="M499" s="267">
        <v>0</v>
      </c>
      <c r="N499" s="266">
        <v>6.3460000000000001</v>
      </c>
      <c r="O499" s="266">
        <f t="shared" si="76"/>
        <v>8.2360000000000007</v>
      </c>
      <c r="P499" s="255">
        <f t="shared" si="72"/>
        <v>8.4060000000000006</v>
      </c>
      <c r="Q499" s="255">
        <v>-0.17100000000000001</v>
      </c>
      <c r="R499" s="258"/>
      <c r="S499" s="254"/>
      <c r="T499" s="243"/>
      <c r="U499" s="243"/>
      <c r="V499" s="243"/>
      <c r="W499" s="245"/>
      <c r="X499" s="245"/>
      <c r="Y499" s="245"/>
      <c r="Z499" s="245"/>
      <c r="AA499" s="245"/>
      <c r="AB499" s="245"/>
      <c r="AC499" s="245"/>
      <c r="AD499" s="245"/>
    </row>
    <row r="500" spans="1:30" s="244" customFormat="1" ht="86.45" customHeight="1" x14ac:dyDescent="0.75">
      <c r="A500" s="330">
        <v>180</v>
      </c>
      <c r="B500" s="324" t="s">
        <v>1294</v>
      </c>
      <c r="C500" s="330" t="s">
        <v>511</v>
      </c>
      <c r="D500" s="347" t="s">
        <v>692</v>
      </c>
      <c r="E500" s="221" t="s">
        <v>1298</v>
      </c>
      <c r="F500" s="247" t="s">
        <v>20</v>
      </c>
      <c r="G500" s="216">
        <v>1.9</v>
      </c>
      <c r="H500" s="233">
        <v>5.5309200000000001</v>
      </c>
      <c r="I500" s="233">
        <f>+H500*0.005</f>
        <v>2.7654600000000001E-2</v>
      </c>
      <c r="J500" s="233">
        <v>0</v>
      </c>
      <c r="K500" s="233">
        <f>(24+4)*1000/1000000</f>
        <v>2.8000000000000001E-2</v>
      </c>
      <c r="L500" s="233">
        <f>+H500*(8.5/100)</f>
        <v>0.47012820000000005</v>
      </c>
      <c r="M500" s="237">
        <v>0</v>
      </c>
      <c r="N500" s="233">
        <f>(415+56)*1000/1000000</f>
        <v>0.47099999999999997</v>
      </c>
      <c r="O500" s="233">
        <f t="shared" si="76"/>
        <v>0.49778280000000008</v>
      </c>
      <c r="P500" s="233">
        <f>+((J500+K500)+(M500+N500))</f>
        <v>0.499</v>
      </c>
      <c r="Q500" s="233">
        <f t="shared" si="73"/>
        <v>-1.2171999999999183E-3</v>
      </c>
      <c r="R500" s="217" t="s">
        <v>284</v>
      </c>
      <c r="S500" s="216" t="s">
        <v>1004</v>
      </c>
      <c r="T500" s="243" t="s">
        <v>282</v>
      </c>
      <c r="U500" s="243" t="s">
        <v>310</v>
      </c>
      <c r="V500" s="243"/>
    </row>
    <row r="501" spans="1:30" s="244" customFormat="1" ht="86.45" customHeight="1" x14ac:dyDescent="0.75">
      <c r="A501" s="332"/>
      <c r="B501" s="326"/>
      <c r="C501" s="332"/>
      <c r="D501" s="348"/>
      <c r="E501" s="260" t="s">
        <v>1327</v>
      </c>
      <c r="F501" s="259" t="s">
        <v>20</v>
      </c>
      <c r="G501" s="254">
        <v>1.9</v>
      </c>
      <c r="H501" s="255">
        <v>4.882746</v>
      </c>
      <c r="I501" s="255">
        <v>2.44137E-2</v>
      </c>
      <c r="J501" s="255">
        <v>0</v>
      </c>
      <c r="K501" s="255">
        <v>2.8000000000000001E-2</v>
      </c>
      <c r="L501" s="255">
        <v>0.41499999999999998</v>
      </c>
      <c r="M501" s="256">
        <v>0</v>
      </c>
      <c r="N501" s="255">
        <v>0.47099999999999997</v>
      </c>
      <c r="O501" s="255">
        <f t="shared" si="76"/>
        <v>0.43941369999999996</v>
      </c>
      <c r="P501" s="255">
        <f>+((J501+K501)+(M501+N501))</f>
        <v>0.499</v>
      </c>
      <c r="Q501" s="255">
        <v>0</v>
      </c>
      <c r="R501" s="258"/>
      <c r="S501" s="254"/>
      <c r="T501" s="243"/>
      <c r="U501" s="243"/>
      <c r="V501" s="243"/>
    </row>
    <row r="502" spans="1:30" ht="86.45" customHeight="1" x14ac:dyDescent="0.75">
      <c r="A502" s="333">
        <v>181</v>
      </c>
      <c r="B502" s="353" t="s">
        <v>838</v>
      </c>
      <c r="C502" s="333" t="s">
        <v>511</v>
      </c>
      <c r="D502" s="354">
        <v>18019053600</v>
      </c>
      <c r="E502" s="221"/>
      <c r="F502" s="216" t="s">
        <v>18</v>
      </c>
      <c r="G502" s="216">
        <v>5.75</v>
      </c>
      <c r="H502" s="233">
        <v>14.779071999999999</v>
      </c>
      <c r="I502" s="233">
        <f>+H502*0.005</f>
        <v>7.3895359999999993E-2</v>
      </c>
      <c r="J502" s="233">
        <v>0</v>
      </c>
      <c r="K502" s="233">
        <f>(75*1000/1000000)</f>
        <v>7.4999999999999997E-2</v>
      </c>
      <c r="L502" s="233">
        <f>+H502*(8.5/100)</f>
        <v>1.25622112</v>
      </c>
      <c r="M502" s="237">
        <v>0</v>
      </c>
      <c r="N502" s="233">
        <f>((539+727)*1000/1000000)</f>
        <v>1.266</v>
      </c>
      <c r="O502" s="233">
        <f>+I502+L502</f>
        <v>1.33011648</v>
      </c>
      <c r="P502" s="233">
        <f>+((J502+K502)+(M502+N502))</f>
        <v>1.341</v>
      </c>
      <c r="Q502" s="233">
        <f>+O502-P502</f>
        <v>-1.0883519999999924E-2</v>
      </c>
      <c r="R502" s="217" t="s">
        <v>284</v>
      </c>
      <c r="S502" s="216" t="s">
        <v>1072</v>
      </c>
      <c r="T502" s="222" t="s">
        <v>283</v>
      </c>
      <c r="U502" s="222" t="s">
        <v>310</v>
      </c>
      <c r="V502" s="222"/>
    </row>
    <row r="503" spans="1:30" ht="86.45" customHeight="1" x14ac:dyDescent="0.75">
      <c r="A503" s="333"/>
      <c r="B503" s="353"/>
      <c r="C503" s="333"/>
      <c r="D503" s="354"/>
      <c r="E503" s="221"/>
      <c r="F503" s="216" t="s">
        <v>20</v>
      </c>
      <c r="G503" s="216">
        <v>5.75</v>
      </c>
      <c r="H503" s="233">
        <v>41.126385999999997</v>
      </c>
      <c r="I503" s="233">
        <f>+H503*0.005</f>
        <v>0.20563192999999999</v>
      </c>
      <c r="J503" s="233">
        <v>0</v>
      </c>
      <c r="K503" s="233">
        <v>0.19800000000000001</v>
      </c>
      <c r="L503" s="233">
        <f>+H503*(8.5/100)</f>
        <v>3.4957428099999999</v>
      </c>
      <c r="M503" s="237">
        <v>0</v>
      </c>
      <c r="N503" s="233">
        <v>3.3519999999999999</v>
      </c>
      <c r="O503" s="233">
        <f t="shared" si="76"/>
        <v>3.7013747399999999</v>
      </c>
      <c r="P503" s="233">
        <f t="shared" ref="P503:P581" si="83">+((J503+K503)+(M503+N503))</f>
        <v>3.55</v>
      </c>
      <c r="Q503" s="233">
        <f t="shared" ref="Q503:Q581" si="84">+O503-P503</f>
        <v>0.15137474000000006</v>
      </c>
      <c r="R503" s="217" t="s">
        <v>284</v>
      </c>
      <c r="S503" s="216" t="s">
        <v>1073</v>
      </c>
      <c r="T503" s="222" t="s">
        <v>282</v>
      </c>
      <c r="U503" s="222" t="s">
        <v>283</v>
      </c>
      <c r="V503" s="222"/>
    </row>
    <row r="504" spans="1:30" ht="86.45" customHeight="1" x14ac:dyDescent="0.75">
      <c r="A504" s="333"/>
      <c r="B504" s="353"/>
      <c r="C504" s="333"/>
      <c r="D504" s="354"/>
      <c r="E504" s="221"/>
      <c r="F504" s="216" t="s">
        <v>21</v>
      </c>
      <c r="G504" s="216">
        <v>6</v>
      </c>
      <c r="H504" s="233">
        <v>36.709668000000001</v>
      </c>
      <c r="I504" s="233">
        <f>+H504*0.01</f>
        <v>0.36709668000000001</v>
      </c>
      <c r="J504" s="233">
        <v>0</v>
      </c>
      <c r="K504" s="233">
        <v>0</v>
      </c>
      <c r="L504" s="233">
        <f>+H504*(10/100)</f>
        <v>3.6709668000000004</v>
      </c>
      <c r="M504" s="237">
        <v>0</v>
      </c>
      <c r="N504" s="233">
        <v>0</v>
      </c>
      <c r="O504" s="233">
        <f t="shared" si="76"/>
        <v>4.0380634800000008</v>
      </c>
      <c r="P504" s="233">
        <f t="shared" si="83"/>
        <v>0</v>
      </c>
      <c r="Q504" s="233">
        <f t="shared" si="84"/>
        <v>4.0380634800000008</v>
      </c>
      <c r="R504" s="217" t="s">
        <v>19</v>
      </c>
      <c r="S504" s="216" t="s">
        <v>489</v>
      </c>
      <c r="T504" s="222" t="s">
        <v>344</v>
      </c>
      <c r="U504" s="222"/>
      <c r="V504" s="222"/>
    </row>
    <row r="505" spans="1:30" ht="86.45" customHeight="1" x14ac:dyDescent="0.75">
      <c r="A505" s="333"/>
      <c r="B505" s="353"/>
      <c r="C505" s="333"/>
      <c r="D505" s="354"/>
      <c r="E505" s="221"/>
      <c r="F505" s="216" t="s">
        <v>22</v>
      </c>
      <c r="G505" s="216">
        <v>5</v>
      </c>
      <c r="H505" s="233">
        <f>1960800/1000000</f>
        <v>1.9608000000000001</v>
      </c>
      <c r="I505" s="233">
        <f>+H505*0.02</f>
        <v>3.9216000000000001E-2</v>
      </c>
      <c r="J505" s="233">
        <v>0</v>
      </c>
      <c r="K505" s="233">
        <v>0</v>
      </c>
      <c r="L505" s="233">
        <f>+H505*(10.5/100)</f>
        <v>0.20588400000000001</v>
      </c>
      <c r="M505" s="237">
        <v>0</v>
      </c>
      <c r="N505" s="233">
        <v>0</v>
      </c>
      <c r="O505" s="233">
        <f>+I505+L505</f>
        <v>0.24510000000000001</v>
      </c>
      <c r="P505" s="233">
        <f>+((J505+K505)+(M505+N505))</f>
        <v>0</v>
      </c>
      <c r="Q505" s="233">
        <f>+O505-P505</f>
        <v>0.24510000000000001</v>
      </c>
      <c r="R505" s="216" t="s">
        <v>19</v>
      </c>
      <c r="S505" s="216" t="s">
        <v>122</v>
      </c>
      <c r="T505" s="222" t="s">
        <v>344</v>
      </c>
      <c r="U505" s="222"/>
      <c r="V505" s="222"/>
      <c r="W505" s="14"/>
      <c r="X505" s="14"/>
      <c r="Y505" s="14"/>
      <c r="Z505" s="14"/>
      <c r="AA505" s="14"/>
      <c r="AB505" s="14"/>
      <c r="AC505" s="14"/>
      <c r="AD505" s="14"/>
    </row>
    <row r="506" spans="1:30" ht="86.45" customHeight="1" x14ac:dyDescent="0.75">
      <c r="A506" s="333">
        <v>182</v>
      </c>
      <c r="B506" s="353" t="s">
        <v>839</v>
      </c>
      <c r="C506" s="333" t="s">
        <v>511</v>
      </c>
      <c r="D506" s="354">
        <v>331519050080</v>
      </c>
      <c r="E506" s="221"/>
      <c r="F506" s="216" t="s">
        <v>18</v>
      </c>
      <c r="G506" s="216">
        <v>3</v>
      </c>
      <c r="H506" s="233">
        <v>4.3791909999999996</v>
      </c>
      <c r="I506" s="233">
        <f>+H506*0.005</f>
        <v>2.1895954999999998E-2</v>
      </c>
      <c r="J506" s="233">
        <v>0</v>
      </c>
      <c r="K506" s="233">
        <v>0.02</v>
      </c>
      <c r="L506" s="233">
        <f>+H506*(8.5/100)</f>
        <v>0.37223123499999999</v>
      </c>
      <c r="M506" s="237">
        <v>0</v>
      </c>
      <c r="N506" s="233">
        <v>0.33100000000000002</v>
      </c>
      <c r="O506" s="233">
        <f>+I506+L506</f>
        <v>0.39412719000000002</v>
      </c>
      <c r="P506" s="233">
        <f>+((J506+K506)+(M506+N506))</f>
        <v>0.35100000000000003</v>
      </c>
      <c r="Q506" s="233">
        <f>+O506-P506</f>
        <v>4.3127189999999982E-2</v>
      </c>
      <c r="R506" s="217" t="s">
        <v>284</v>
      </c>
      <c r="S506" s="216" t="s">
        <v>1074</v>
      </c>
      <c r="T506" s="222" t="s">
        <v>282</v>
      </c>
      <c r="U506" s="222" t="s">
        <v>283</v>
      </c>
      <c r="V506" s="222"/>
    </row>
    <row r="507" spans="1:30" ht="86.45" customHeight="1" x14ac:dyDescent="0.75">
      <c r="A507" s="333"/>
      <c r="B507" s="353"/>
      <c r="C507" s="333"/>
      <c r="D507" s="354"/>
      <c r="E507" s="221"/>
      <c r="F507" s="216" t="s">
        <v>20</v>
      </c>
      <c r="G507" s="216">
        <v>9.5</v>
      </c>
      <c r="H507" s="233">
        <v>23.013297999999999</v>
      </c>
      <c r="I507" s="233">
        <f t="shared" ref="I507:I512" si="85">+H507*0.005</f>
        <v>0.11506648999999999</v>
      </c>
      <c r="J507" s="233">
        <v>0</v>
      </c>
      <c r="K507" s="233">
        <f>(73+15+25+9)*1000/1000000</f>
        <v>0.122</v>
      </c>
      <c r="L507" s="233">
        <f t="shared" ref="L507:L512" si="86">+H507*(8.5/100)</f>
        <v>1.9561303300000001</v>
      </c>
      <c r="M507" s="237">
        <v>0</v>
      </c>
      <c r="N507" s="233">
        <f>(1250+250+432+157)*1000/1000000</f>
        <v>2.089</v>
      </c>
      <c r="O507" s="233">
        <f t="shared" si="76"/>
        <v>2.0711968199999999</v>
      </c>
      <c r="P507" s="233">
        <f t="shared" si="83"/>
        <v>2.2109999999999999</v>
      </c>
      <c r="Q507" s="233">
        <f t="shared" si="84"/>
        <v>-0.13980317999999992</v>
      </c>
      <c r="R507" s="217" t="s">
        <v>284</v>
      </c>
      <c r="S507" s="216" t="s">
        <v>1023</v>
      </c>
      <c r="T507" s="222" t="s">
        <v>282</v>
      </c>
      <c r="U507" s="222" t="s">
        <v>310</v>
      </c>
      <c r="V507" s="222"/>
    </row>
    <row r="508" spans="1:30" ht="86.45" customHeight="1" x14ac:dyDescent="0.75">
      <c r="A508" s="216">
        <v>183</v>
      </c>
      <c r="B508" s="220" t="s">
        <v>840</v>
      </c>
      <c r="C508" s="216" t="s">
        <v>511</v>
      </c>
      <c r="D508" s="221">
        <v>331519054340</v>
      </c>
      <c r="E508" s="221"/>
      <c r="F508" s="216" t="s">
        <v>20</v>
      </c>
      <c r="G508" s="216">
        <v>4.9000000000000004</v>
      </c>
      <c r="H508" s="233">
        <v>11.50578</v>
      </c>
      <c r="I508" s="233">
        <f t="shared" si="85"/>
        <v>5.7528900000000001E-2</v>
      </c>
      <c r="J508" s="233">
        <v>0</v>
      </c>
      <c r="K508" s="233">
        <f>(37+10+8+5)*1000/1000000</f>
        <v>0.06</v>
      </c>
      <c r="L508" s="233">
        <f t="shared" si="86"/>
        <v>0.97799130000000001</v>
      </c>
      <c r="M508" s="237">
        <v>0</v>
      </c>
      <c r="N508" s="233">
        <f>(620+150+187+79)*1000/1000000</f>
        <v>1.036</v>
      </c>
      <c r="O508" s="233">
        <f t="shared" si="76"/>
        <v>1.0355202000000001</v>
      </c>
      <c r="P508" s="233">
        <f t="shared" si="83"/>
        <v>1.0960000000000001</v>
      </c>
      <c r="Q508" s="233">
        <f t="shared" si="84"/>
        <v>-6.0479799999999972E-2</v>
      </c>
      <c r="R508" s="217" t="s">
        <v>284</v>
      </c>
      <c r="S508" s="216" t="s">
        <v>1075</v>
      </c>
      <c r="T508" s="222" t="s">
        <v>282</v>
      </c>
      <c r="U508" s="222" t="s">
        <v>310</v>
      </c>
      <c r="V508" s="222"/>
    </row>
    <row r="509" spans="1:30" ht="86.45" customHeight="1" x14ac:dyDescent="0.75">
      <c r="A509" s="216">
        <v>184</v>
      </c>
      <c r="B509" s="220" t="s">
        <v>841</v>
      </c>
      <c r="C509" s="216" t="s">
        <v>511</v>
      </c>
      <c r="D509" s="221">
        <v>28619033260</v>
      </c>
      <c r="E509" s="221"/>
      <c r="F509" s="216" t="s">
        <v>18</v>
      </c>
      <c r="G509" s="216">
        <v>4.907</v>
      </c>
      <c r="H509" s="233">
        <v>2.1816770000000001</v>
      </c>
      <c r="I509" s="233">
        <f t="shared" si="85"/>
        <v>1.0908385000000001E-2</v>
      </c>
      <c r="J509" s="233">
        <v>0</v>
      </c>
      <c r="K509" s="233">
        <v>0.01</v>
      </c>
      <c r="L509" s="233">
        <f t="shared" si="86"/>
        <v>0.18544254500000001</v>
      </c>
      <c r="M509" s="237">
        <v>0</v>
      </c>
      <c r="N509" s="233">
        <v>0.16500000000000001</v>
      </c>
      <c r="O509" s="233">
        <f t="shared" si="76"/>
        <v>0.19635093000000001</v>
      </c>
      <c r="P509" s="233">
        <f t="shared" si="83"/>
        <v>0.17500000000000002</v>
      </c>
      <c r="Q509" s="233">
        <f t="shared" si="84"/>
        <v>2.135092999999999E-2</v>
      </c>
      <c r="R509" s="217" t="s">
        <v>284</v>
      </c>
      <c r="S509" s="216" t="s">
        <v>1076</v>
      </c>
      <c r="T509" s="222" t="s">
        <v>282</v>
      </c>
      <c r="U509" s="222" t="s">
        <v>283</v>
      </c>
      <c r="V509" s="222"/>
    </row>
    <row r="510" spans="1:30" ht="86.45" customHeight="1" x14ac:dyDescent="0.75">
      <c r="A510" s="216">
        <v>185</v>
      </c>
      <c r="B510" s="220" t="s">
        <v>776</v>
      </c>
      <c r="C510" s="216" t="s">
        <v>511</v>
      </c>
      <c r="D510" s="221">
        <v>94509003739</v>
      </c>
      <c r="E510" s="221"/>
      <c r="F510" s="216" t="s">
        <v>20</v>
      </c>
      <c r="G510" s="216">
        <v>4.9989999999999997</v>
      </c>
      <c r="H510" s="233">
        <v>7.5921120000000002</v>
      </c>
      <c r="I510" s="233">
        <f t="shared" si="85"/>
        <v>3.7960560000000004E-2</v>
      </c>
      <c r="J510" s="233">
        <v>0</v>
      </c>
      <c r="K510" s="233">
        <f>((35)*1000)/1000000</f>
        <v>3.5000000000000003E-2</v>
      </c>
      <c r="L510" s="233">
        <f t="shared" si="86"/>
        <v>0.6453295200000001</v>
      </c>
      <c r="M510" s="237">
        <v>0</v>
      </c>
      <c r="N510" s="233">
        <f>(593)*1000/1000000</f>
        <v>0.59299999999999997</v>
      </c>
      <c r="O510" s="233">
        <f t="shared" si="76"/>
        <v>0.68329008000000013</v>
      </c>
      <c r="P510" s="233">
        <f t="shared" si="83"/>
        <v>0.628</v>
      </c>
      <c r="Q510" s="233">
        <f t="shared" si="84"/>
        <v>5.529008000000013E-2</v>
      </c>
      <c r="R510" s="217" t="s">
        <v>284</v>
      </c>
      <c r="S510" s="216" t="s">
        <v>1059</v>
      </c>
      <c r="T510" s="222" t="s">
        <v>282</v>
      </c>
      <c r="U510" s="222" t="s">
        <v>283</v>
      </c>
      <c r="V510" s="222"/>
    </row>
    <row r="511" spans="1:30" ht="86.45" customHeight="1" x14ac:dyDescent="0.75">
      <c r="A511" s="216">
        <v>186</v>
      </c>
      <c r="B511" s="220" t="s">
        <v>777</v>
      </c>
      <c r="C511" s="216" t="s">
        <v>511</v>
      </c>
      <c r="D511" s="221">
        <v>-94029005310</v>
      </c>
      <c r="E511" s="221"/>
      <c r="F511" s="216" t="s">
        <v>20</v>
      </c>
      <c r="G511" s="216">
        <v>4.5</v>
      </c>
      <c r="H511" s="233">
        <v>7.4843650000000004</v>
      </c>
      <c r="I511" s="233">
        <f t="shared" si="85"/>
        <v>3.7421825000000006E-2</v>
      </c>
      <c r="J511" s="233">
        <v>0</v>
      </c>
      <c r="K511" s="233">
        <f>((34)*1000)/1000000</f>
        <v>3.4000000000000002E-2</v>
      </c>
      <c r="L511" s="233">
        <f t="shared" si="86"/>
        <v>0.63617102500000011</v>
      </c>
      <c r="M511" s="237">
        <v>0</v>
      </c>
      <c r="N511" s="233">
        <f>(576)*1000/1000000</f>
        <v>0.57599999999999996</v>
      </c>
      <c r="O511" s="233">
        <f t="shared" si="76"/>
        <v>0.67359285000000013</v>
      </c>
      <c r="P511" s="233">
        <f t="shared" si="83"/>
        <v>0.61</v>
      </c>
      <c r="Q511" s="233">
        <f t="shared" si="84"/>
        <v>6.3592850000000145E-2</v>
      </c>
      <c r="R511" s="217" t="s">
        <v>284</v>
      </c>
      <c r="S511" s="216" t="s">
        <v>1059</v>
      </c>
      <c r="T511" s="222" t="s">
        <v>282</v>
      </c>
      <c r="U511" s="222" t="s">
        <v>283</v>
      </c>
      <c r="V511" s="222"/>
    </row>
    <row r="512" spans="1:30" ht="86.45" customHeight="1" x14ac:dyDescent="0.75">
      <c r="A512" s="216">
        <v>187</v>
      </c>
      <c r="B512" s="220" t="s">
        <v>842</v>
      </c>
      <c r="C512" s="216" t="s">
        <v>511</v>
      </c>
      <c r="D512" s="221">
        <v>370019004790</v>
      </c>
      <c r="E512" s="221"/>
      <c r="F512" s="216" t="s">
        <v>20</v>
      </c>
      <c r="G512" s="216">
        <v>1.6</v>
      </c>
      <c r="H512" s="233">
        <v>3.2649599999999999</v>
      </c>
      <c r="I512" s="233">
        <f t="shared" si="85"/>
        <v>1.63248E-2</v>
      </c>
      <c r="J512" s="233">
        <v>0</v>
      </c>
      <c r="K512" s="233">
        <v>0</v>
      </c>
      <c r="L512" s="233">
        <f t="shared" si="86"/>
        <v>0.27752160000000003</v>
      </c>
      <c r="M512" s="237">
        <v>0</v>
      </c>
      <c r="N512" s="233">
        <v>0</v>
      </c>
      <c r="O512" s="233">
        <f t="shared" si="76"/>
        <v>0.29384640000000006</v>
      </c>
      <c r="P512" s="233">
        <f t="shared" si="83"/>
        <v>0</v>
      </c>
      <c r="Q512" s="233">
        <f t="shared" si="84"/>
        <v>0.29384640000000006</v>
      </c>
      <c r="R512" s="217" t="s">
        <v>19</v>
      </c>
      <c r="S512" s="216" t="s">
        <v>449</v>
      </c>
      <c r="T512" s="222" t="s">
        <v>344</v>
      </c>
      <c r="U512" s="222"/>
      <c r="V512" s="222"/>
    </row>
    <row r="513" spans="1:30" ht="86.45" customHeight="1" x14ac:dyDescent="0.75">
      <c r="A513" s="253">
        <v>188</v>
      </c>
      <c r="B513" s="324" t="s">
        <v>1384</v>
      </c>
      <c r="C513" s="324" t="s">
        <v>511</v>
      </c>
      <c r="D513" s="379">
        <v>170149001771</v>
      </c>
      <c r="E513" s="379" t="s">
        <v>1298</v>
      </c>
      <c r="F513" s="216" t="s">
        <v>20</v>
      </c>
      <c r="G513" s="216">
        <v>1</v>
      </c>
      <c r="H513" s="233">
        <v>9.7273399999999999</v>
      </c>
      <c r="I513" s="233">
        <f t="shared" ref="I513" si="87">+H513*0.005</f>
        <v>4.8636699999999998E-2</v>
      </c>
      <c r="J513" s="233">
        <v>0</v>
      </c>
      <c r="K513" s="233">
        <v>0</v>
      </c>
      <c r="L513" s="233">
        <f t="shared" ref="L513" si="88">+H513*(8.5/100)</f>
        <v>0.82682390000000006</v>
      </c>
      <c r="M513" s="237">
        <v>0</v>
      </c>
      <c r="N513" s="233">
        <v>0</v>
      </c>
      <c r="O513" s="233">
        <f t="shared" ref="O513" si="89">+I513+L513</f>
        <v>0.87546060000000003</v>
      </c>
      <c r="P513" s="233">
        <f t="shared" ref="P513" si="90">+((J513+K513)+(M513+N513))</f>
        <v>0</v>
      </c>
      <c r="Q513" s="233">
        <f t="shared" ref="Q513" si="91">+O513-P513</f>
        <v>0.87546060000000003</v>
      </c>
      <c r="R513" s="217" t="s">
        <v>19</v>
      </c>
      <c r="S513" s="216" t="s">
        <v>449</v>
      </c>
      <c r="T513" s="222"/>
      <c r="U513" s="222"/>
      <c r="V513" s="222"/>
    </row>
    <row r="514" spans="1:30" ht="86.45" customHeight="1" x14ac:dyDescent="0.75">
      <c r="A514" s="330">
        <v>189</v>
      </c>
      <c r="B514" s="325"/>
      <c r="C514" s="325"/>
      <c r="D514" s="378"/>
      <c r="E514" s="378"/>
      <c r="F514" s="216" t="s">
        <v>18</v>
      </c>
      <c r="G514" s="216">
        <v>10.41</v>
      </c>
      <c r="H514" s="233">
        <v>8.2642500000000005</v>
      </c>
      <c r="I514" s="233">
        <f>+H514*0.005</f>
        <v>4.1321250000000004E-2</v>
      </c>
      <c r="J514" s="233">
        <v>0</v>
      </c>
      <c r="K514" s="233">
        <v>0</v>
      </c>
      <c r="L514" s="233">
        <f>+H514*(8.5/100)</f>
        <v>0.70246125000000015</v>
      </c>
      <c r="M514" s="237">
        <v>0</v>
      </c>
      <c r="N514" s="233">
        <v>0</v>
      </c>
      <c r="O514" s="233">
        <f t="shared" si="76"/>
        <v>0.74378250000000012</v>
      </c>
      <c r="P514" s="233">
        <f t="shared" si="83"/>
        <v>0</v>
      </c>
      <c r="Q514" s="233">
        <f t="shared" si="84"/>
        <v>0.74378250000000012</v>
      </c>
      <c r="R514" s="217" t="s">
        <v>284</v>
      </c>
      <c r="S514" s="216" t="s">
        <v>1077</v>
      </c>
      <c r="T514" s="222" t="s">
        <v>282</v>
      </c>
      <c r="U514" s="222" t="s">
        <v>283</v>
      </c>
      <c r="V514" s="222"/>
    </row>
    <row r="515" spans="1:30" ht="86.45" customHeight="1" x14ac:dyDescent="0.75">
      <c r="A515" s="331"/>
      <c r="B515" s="325"/>
      <c r="C515" s="325"/>
      <c r="D515" s="378"/>
      <c r="E515" s="378"/>
      <c r="F515" s="216" t="s">
        <v>20</v>
      </c>
      <c r="G515" s="216">
        <v>10</v>
      </c>
      <c r="H515" s="233">
        <v>44.416707000000002</v>
      </c>
      <c r="I515" s="233">
        <f>+H515*0.005</f>
        <v>0.22208353500000003</v>
      </c>
      <c r="J515" s="233">
        <v>9.6600000000000005E-2</v>
      </c>
      <c r="K515" s="233">
        <f>(((190)*1000)/1000000)</f>
        <v>0.19</v>
      </c>
      <c r="L515" s="233">
        <f>+H515*(8.5/100)</f>
        <v>3.7754200950000003</v>
      </c>
      <c r="M515" s="237">
        <v>3.2</v>
      </c>
      <c r="N515" s="233">
        <v>0</v>
      </c>
      <c r="O515" s="233">
        <f>+I515+L515</f>
        <v>3.9975036300000002</v>
      </c>
      <c r="P515" s="233">
        <f>+((J515+K515)+(M515+N515))</f>
        <v>3.4866000000000001</v>
      </c>
      <c r="Q515" s="233">
        <f>+O515-P515</f>
        <v>0.51090363000000005</v>
      </c>
      <c r="R515" s="217" t="s">
        <v>284</v>
      </c>
      <c r="S515" s="216" t="s">
        <v>1078</v>
      </c>
      <c r="T515" s="222" t="s">
        <v>282</v>
      </c>
      <c r="U515" s="222" t="s">
        <v>283</v>
      </c>
      <c r="V515" s="222"/>
    </row>
    <row r="516" spans="1:30" ht="86.45" customHeight="1" x14ac:dyDescent="0.75">
      <c r="A516" s="331"/>
      <c r="B516" s="325"/>
      <c r="C516" s="325"/>
      <c r="D516" s="378"/>
      <c r="E516" s="378"/>
      <c r="F516" s="216" t="s">
        <v>21</v>
      </c>
      <c r="G516" s="216">
        <v>5</v>
      </c>
      <c r="H516" s="233">
        <v>37.578763000000002</v>
      </c>
      <c r="I516" s="233">
        <f>+H516*0.01</f>
        <v>0.37578763000000004</v>
      </c>
      <c r="J516" s="233">
        <f>(0.0508+0.0566)</f>
        <v>0.1074</v>
      </c>
      <c r="K516" s="233">
        <f>(219*1000)/1000000</f>
        <v>0.219</v>
      </c>
      <c r="L516" s="233">
        <f>+H516*(10/100)</f>
        <v>3.7578763000000004</v>
      </c>
      <c r="M516" s="237">
        <f>(0.1566+0.2787+0.3606+0.4372+0.1696+0.1596+0.1231+0.143+0.1711+0.1641+0.1443+0.1123)</f>
        <v>2.4201999999999999</v>
      </c>
      <c r="N516" s="233">
        <f>(845*1000)/1000000</f>
        <v>0.84499999999999997</v>
      </c>
      <c r="O516" s="233">
        <f t="shared" si="76"/>
        <v>4.1336639300000009</v>
      </c>
      <c r="P516" s="233">
        <f t="shared" si="83"/>
        <v>3.5916000000000001</v>
      </c>
      <c r="Q516" s="233">
        <f t="shared" si="84"/>
        <v>0.54206393000000075</v>
      </c>
      <c r="R516" s="217" t="s">
        <v>284</v>
      </c>
      <c r="S516" s="216" t="s">
        <v>1079</v>
      </c>
      <c r="T516" s="222" t="s">
        <v>282</v>
      </c>
      <c r="U516" s="222" t="s">
        <v>283</v>
      </c>
      <c r="V516" s="222"/>
    </row>
    <row r="517" spans="1:30" ht="86.45" customHeight="1" x14ac:dyDescent="0.75">
      <c r="A517" s="331"/>
      <c r="B517" s="325"/>
      <c r="C517" s="325"/>
      <c r="D517" s="378"/>
      <c r="E517" s="378"/>
      <c r="F517" s="216" t="s">
        <v>22</v>
      </c>
      <c r="G517" s="223">
        <v>7.5</v>
      </c>
      <c r="H517" s="233">
        <f>37009324/1000000</f>
        <v>37.009323999999999</v>
      </c>
      <c r="I517" s="233">
        <f>+H517*0.02</f>
        <v>0.74018647999999998</v>
      </c>
      <c r="J517" s="233">
        <v>0</v>
      </c>
      <c r="K517" s="233">
        <f>(687*1000)/1000000</f>
        <v>0.68700000000000006</v>
      </c>
      <c r="L517" s="233">
        <f>+H517*(10.5/100)</f>
        <v>3.8859790199999997</v>
      </c>
      <c r="M517" s="237">
        <v>2.0834999999999999</v>
      </c>
      <c r="N517" s="233">
        <f>(1523*1000)/1000000</f>
        <v>1.5229999999999999</v>
      </c>
      <c r="O517" s="233">
        <f>+I517+L517</f>
        <v>4.6261654999999999</v>
      </c>
      <c r="P517" s="233">
        <f>+((J517+K517)+(M517+N517))</f>
        <v>4.2934999999999999</v>
      </c>
      <c r="Q517" s="233">
        <f>+O517-P517</f>
        <v>0.33266550000000006</v>
      </c>
      <c r="R517" s="216" t="s">
        <v>292</v>
      </c>
      <c r="S517" s="216" t="s">
        <v>123</v>
      </c>
      <c r="T517" s="222" t="s">
        <v>282</v>
      </c>
      <c r="U517" s="222" t="s">
        <v>283</v>
      </c>
      <c r="V517" s="222"/>
      <c r="W517" s="14"/>
      <c r="X517" s="14"/>
      <c r="Y517" s="14"/>
      <c r="Z517" s="14"/>
      <c r="AA517" s="14"/>
      <c r="AB517" s="14"/>
      <c r="AC517" s="14"/>
      <c r="AD517" s="14"/>
    </row>
    <row r="518" spans="1:30" ht="86.45" customHeight="1" x14ac:dyDescent="0.75">
      <c r="A518" s="331"/>
      <c r="B518" s="325"/>
      <c r="C518" s="325"/>
      <c r="D518" s="378"/>
      <c r="E518" s="378"/>
      <c r="F518" s="216" t="s">
        <v>24</v>
      </c>
      <c r="G518" s="223">
        <v>7.5</v>
      </c>
      <c r="H518" s="234">
        <v>30.105080999999998</v>
      </c>
      <c r="I518" s="233">
        <f>+H518*(2.75/100)</f>
        <v>0.82788972750000001</v>
      </c>
      <c r="J518" s="233">
        <v>0.70020000000000004</v>
      </c>
      <c r="K518" s="233">
        <f>(733*1000)/1000000</f>
        <v>0.73299999999999998</v>
      </c>
      <c r="L518" s="233">
        <f>+H518*(11/100)</f>
        <v>3.31155891</v>
      </c>
      <c r="M518" s="237">
        <v>2.5455999999999999</v>
      </c>
      <c r="N518" s="233">
        <f>(957*1000)/1000000</f>
        <v>0.95699999999999996</v>
      </c>
      <c r="O518" s="233">
        <f>+I518+L518</f>
        <v>4.1394486375000001</v>
      </c>
      <c r="P518" s="233">
        <f>+((J518+K518)+(M518+N518))</f>
        <v>4.9357999999999995</v>
      </c>
      <c r="Q518" s="233">
        <f>+O518-P518</f>
        <v>-0.79635136249999938</v>
      </c>
      <c r="R518" s="217" t="s">
        <v>25</v>
      </c>
      <c r="S518" s="216" t="s">
        <v>124</v>
      </c>
      <c r="T518" s="222" t="s">
        <v>282</v>
      </c>
      <c r="U518" s="222" t="s">
        <v>310</v>
      </c>
      <c r="V518" s="222"/>
      <c r="W518" s="14"/>
      <c r="X518" s="14"/>
      <c r="Y518" s="14"/>
      <c r="Z518" s="14"/>
      <c r="AA518" s="14"/>
      <c r="AB518" s="14"/>
      <c r="AC518" s="14"/>
      <c r="AD518" s="14"/>
    </row>
    <row r="519" spans="1:30" ht="86.45" customHeight="1" x14ac:dyDescent="0.75">
      <c r="A519" s="331"/>
      <c r="B519" s="325"/>
      <c r="C519" s="325"/>
      <c r="D519" s="378"/>
      <c r="E519" s="380"/>
      <c r="F519" s="216" t="s">
        <v>27</v>
      </c>
      <c r="G519" s="216">
        <v>17.5</v>
      </c>
      <c r="H519" s="233">
        <v>7.9722330000000001</v>
      </c>
      <c r="I519" s="233">
        <f>+H519*(3.5/100)</f>
        <v>0.27902815500000006</v>
      </c>
      <c r="J519" s="233">
        <v>7.7103999999999999</v>
      </c>
      <c r="K519" s="233">
        <f>(0*1000)/1000000</f>
        <v>0</v>
      </c>
      <c r="L519" s="233">
        <f>+H519*(11.5/100)</f>
        <v>0.91680679500000006</v>
      </c>
      <c r="M519" s="237">
        <v>1.2847999999999999</v>
      </c>
      <c r="N519" s="233">
        <f>(0*1000)/1000000</f>
        <v>0</v>
      </c>
      <c r="O519" s="233">
        <f>+I519+L519</f>
        <v>1.1958349500000001</v>
      </c>
      <c r="P519" s="233">
        <f>+((J519+K519)+(M519+N519))</f>
        <v>8.9952000000000005</v>
      </c>
      <c r="Q519" s="233">
        <f>+O519-P519</f>
        <v>-7.7993650500000005</v>
      </c>
      <c r="R519" s="217" t="s">
        <v>25</v>
      </c>
      <c r="S519" s="216" t="s">
        <v>125</v>
      </c>
      <c r="T519" s="222" t="s">
        <v>282</v>
      </c>
      <c r="U519" s="222" t="s">
        <v>310</v>
      </c>
      <c r="V519" s="222"/>
      <c r="W519" s="14"/>
      <c r="X519" s="14"/>
      <c r="Y519" s="14"/>
      <c r="Z519" s="14"/>
      <c r="AA519" s="14"/>
      <c r="AB519" s="14"/>
      <c r="AC519" s="14"/>
      <c r="AD519" s="14"/>
    </row>
    <row r="520" spans="1:30" ht="86.45" customHeight="1" x14ac:dyDescent="0.75">
      <c r="A520" s="331"/>
      <c r="B520" s="325"/>
      <c r="C520" s="325"/>
      <c r="D520" s="378"/>
      <c r="E520" s="350" t="s">
        <v>1385</v>
      </c>
      <c r="F520" s="254" t="s">
        <v>18</v>
      </c>
      <c r="G520" s="254">
        <v>10.41</v>
      </c>
      <c r="H520" s="255">
        <v>8.2639999999999993</v>
      </c>
      <c r="I520" s="255">
        <v>4.1000000000000002E-2</v>
      </c>
      <c r="J520" s="255">
        <v>0</v>
      </c>
      <c r="K520" s="255">
        <v>0</v>
      </c>
      <c r="L520" s="255">
        <v>0.70199999999999996</v>
      </c>
      <c r="M520" s="256">
        <v>0</v>
      </c>
      <c r="N520" s="255">
        <v>0</v>
      </c>
      <c r="O520" s="255">
        <v>0.74399999999999999</v>
      </c>
      <c r="P520" s="255">
        <v>0</v>
      </c>
      <c r="Q520" s="255">
        <f t="shared" ref="Q520:Q525" si="92">+O520-P520</f>
        <v>0.74399999999999999</v>
      </c>
      <c r="R520" s="268"/>
      <c r="S520" s="254"/>
      <c r="T520" s="222"/>
      <c r="U520" s="222"/>
      <c r="V520" s="222"/>
      <c r="W520" s="14"/>
      <c r="X520" s="14"/>
      <c r="Y520" s="14"/>
      <c r="Z520" s="14"/>
      <c r="AA520" s="14"/>
      <c r="AB520" s="14"/>
      <c r="AC520" s="14"/>
      <c r="AD520" s="14"/>
    </row>
    <row r="521" spans="1:30" ht="86.45" customHeight="1" x14ac:dyDescent="0.75">
      <c r="A521" s="331"/>
      <c r="B521" s="325"/>
      <c r="C521" s="325"/>
      <c r="D521" s="378"/>
      <c r="E521" s="351"/>
      <c r="F521" s="254" t="s">
        <v>20</v>
      </c>
      <c r="G521" s="254">
        <v>10</v>
      </c>
      <c r="H521" s="255">
        <v>44.417000000000002</v>
      </c>
      <c r="I521" s="255">
        <v>0.222</v>
      </c>
      <c r="J521" s="255">
        <v>0.19</v>
      </c>
      <c r="K521" s="255">
        <v>9.7000000000000003E-2</v>
      </c>
      <c r="L521" s="255">
        <v>3.7749999999999999</v>
      </c>
      <c r="M521" s="256">
        <v>0</v>
      </c>
      <c r="N521" s="255">
        <v>3.2</v>
      </c>
      <c r="O521" s="255">
        <v>3.9980000000000002</v>
      </c>
      <c r="P521" s="255">
        <v>3.4870000000000001</v>
      </c>
      <c r="Q521" s="255">
        <f t="shared" si="92"/>
        <v>0.51100000000000012</v>
      </c>
      <c r="R521" s="268"/>
      <c r="S521" s="254"/>
      <c r="T521" s="222"/>
      <c r="U521" s="222"/>
      <c r="V521" s="222"/>
      <c r="W521" s="14"/>
      <c r="X521" s="14"/>
      <c r="Y521" s="14"/>
      <c r="Z521" s="14"/>
      <c r="AA521" s="14"/>
      <c r="AB521" s="14"/>
      <c r="AC521" s="14"/>
      <c r="AD521" s="14"/>
    </row>
    <row r="522" spans="1:30" ht="86.45" customHeight="1" x14ac:dyDescent="0.75">
      <c r="A522" s="331"/>
      <c r="B522" s="325"/>
      <c r="C522" s="325"/>
      <c r="D522" s="378"/>
      <c r="E522" s="351"/>
      <c r="F522" s="254" t="s">
        <v>21</v>
      </c>
      <c r="G522" s="254">
        <v>5</v>
      </c>
      <c r="H522" s="255">
        <v>37.259</v>
      </c>
      <c r="I522" s="255">
        <v>0.376</v>
      </c>
      <c r="J522" s="255">
        <v>0.219</v>
      </c>
      <c r="K522" s="255">
        <v>0.107</v>
      </c>
      <c r="L522" s="255">
        <v>3.758</v>
      </c>
      <c r="M522" s="256">
        <v>0.84499999999999997</v>
      </c>
      <c r="N522" s="255">
        <v>2.42</v>
      </c>
      <c r="O522" s="255">
        <v>4.1340000000000003</v>
      </c>
      <c r="P522" s="255">
        <v>3.5910000000000002</v>
      </c>
      <c r="Q522" s="255">
        <f t="shared" si="92"/>
        <v>0.54300000000000015</v>
      </c>
      <c r="R522" s="268"/>
      <c r="S522" s="254"/>
      <c r="T522" s="222"/>
      <c r="U522" s="222"/>
      <c r="V522" s="222"/>
      <c r="W522" s="14"/>
      <c r="X522" s="14"/>
      <c r="Y522" s="14"/>
      <c r="Z522" s="14"/>
      <c r="AA522" s="14"/>
      <c r="AB522" s="14"/>
      <c r="AC522" s="14"/>
      <c r="AD522" s="14"/>
    </row>
    <row r="523" spans="1:30" ht="86.45" customHeight="1" x14ac:dyDescent="0.75">
      <c r="A523" s="331"/>
      <c r="B523" s="325"/>
      <c r="C523" s="325"/>
      <c r="D523" s="378"/>
      <c r="E523" s="351"/>
      <c r="F523" s="254" t="s">
        <v>22</v>
      </c>
      <c r="G523" s="254">
        <v>7.5</v>
      </c>
      <c r="H523" s="255">
        <v>37.009</v>
      </c>
      <c r="I523" s="255">
        <v>0.74</v>
      </c>
      <c r="J523" s="255">
        <v>0.68700000000000006</v>
      </c>
      <c r="K523" s="255">
        <v>0</v>
      </c>
      <c r="L523" s="255">
        <v>3.8860000000000001</v>
      </c>
      <c r="M523" s="256">
        <v>1.5229999999999999</v>
      </c>
      <c r="N523" s="255">
        <v>2.0840000000000001</v>
      </c>
      <c r="O523" s="255">
        <v>4.6260000000000003</v>
      </c>
      <c r="P523" s="255">
        <v>4.2939999999999996</v>
      </c>
      <c r="Q523" s="255">
        <f t="shared" si="92"/>
        <v>0.33200000000000074</v>
      </c>
      <c r="R523" s="268"/>
      <c r="S523" s="254"/>
      <c r="T523" s="222"/>
      <c r="U523" s="222"/>
      <c r="V523" s="222"/>
      <c r="W523" s="14"/>
      <c r="X523" s="14"/>
      <c r="Y523" s="14"/>
      <c r="Z523" s="14"/>
      <c r="AA523" s="14"/>
      <c r="AB523" s="14"/>
      <c r="AC523" s="14"/>
      <c r="AD523" s="14"/>
    </row>
    <row r="524" spans="1:30" ht="86.45" customHeight="1" x14ac:dyDescent="0.75">
      <c r="A524" s="331"/>
      <c r="B524" s="325"/>
      <c r="C524" s="325"/>
      <c r="D524" s="378"/>
      <c r="E524" s="351"/>
      <c r="F524" s="254" t="s">
        <v>24</v>
      </c>
      <c r="G524" s="254">
        <v>7.5</v>
      </c>
      <c r="H524" s="255">
        <v>30.105</v>
      </c>
      <c r="I524" s="255">
        <v>0.82799999999999996</v>
      </c>
      <c r="J524" s="255">
        <v>0.73299999999999998</v>
      </c>
      <c r="K524" s="255">
        <v>0.7</v>
      </c>
      <c r="L524" s="255">
        <v>3.3119999999999998</v>
      </c>
      <c r="M524" s="256">
        <v>0.95699999999999996</v>
      </c>
      <c r="N524" s="255">
        <v>2.5459999999999998</v>
      </c>
      <c r="O524" s="255">
        <v>4.1390000000000002</v>
      </c>
      <c r="P524" s="255">
        <v>4.9359999999999999</v>
      </c>
      <c r="Q524" s="255">
        <f t="shared" si="92"/>
        <v>-0.79699999999999971</v>
      </c>
      <c r="R524" s="268"/>
      <c r="S524" s="254"/>
      <c r="T524" s="222"/>
      <c r="U524" s="222"/>
      <c r="V524" s="222"/>
      <c r="W524" s="14"/>
      <c r="X524" s="14"/>
      <c r="Y524" s="14"/>
      <c r="Z524" s="14"/>
      <c r="AA524" s="14"/>
      <c r="AB524" s="14"/>
      <c r="AC524" s="14"/>
      <c r="AD524" s="14"/>
    </row>
    <row r="525" spans="1:30" ht="86.45" customHeight="1" x14ac:dyDescent="0.75">
      <c r="A525" s="332"/>
      <c r="B525" s="326"/>
      <c r="C525" s="326"/>
      <c r="D525" s="380"/>
      <c r="E525" s="352"/>
      <c r="F525" s="254" t="s">
        <v>27</v>
      </c>
      <c r="G525" s="254">
        <v>17.5</v>
      </c>
      <c r="H525" s="255">
        <v>7.9720000000000004</v>
      </c>
      <c r="I525" s="255">
        <v>0.27900000000000003</v>
      </c>
      <c r="J525" s="255">
        <v>0</v>
      </c>
      <c r="K525" s="255">
        <v>7.71</v>
      </c>
      <c r="L525" s="255">
        <v>0.91700000000000004</v>
      </c>
      <c r="M525" s="256">
        <v>0</v>
      </c>
      <c r="N525" s="255">
        <v>1.2849999999999999</v>
      </c>
      <c r="O525" s="255">
        <v>1.196</v>
      </c>
      <c r="P525" s="255">
        <v>8.9949999999999992</v>
      </c>
      <c r="Q525" s="255">
        <f t="shared" si="92"/>
        <v>-7.7989999999999995</v>
      </c>
      <c r="R525" s="268"/>
      <c r="S525" s="254"/>
      <c r="T525" s="222"/>
      <c r="U525" s="222"/>
      <c r="V525" s="222"/>
      <c r="W525" s="14"/>
      <c r="X525" s="14"/>
      <c r="Y525" s="14"/>
      <c r="Z525" s="14"/>
      <c r="AA525" s="14"/>
      <c r="AB525" s="14"/>
      <c r="AC525" s="14"/>
      <c r="AD525" s="14"/>
    </row>
    <row r="526" spans="1:30" ht="86.45" customHeight="1" x14ac:dyDescent="0.75">
      <c r="A526" s="216">
        <v>190</v>
      </c>
      <c r="B526" s="220" t="s">
        <v>843</v>
      </c>
      <c r="C526" s="216" t="s">
        <v>511</v>
      </c>
      <c r="D526" s="221">
        <v>510019000557</v>
      </c>
      <c r="E526" s="221"/>
      <c r="F526" s="216" t="s">
        <v>20</v>
      </c>
      <c r="G526" s="216">
        <v>1.2</v>
      </c>
      <c r="H526" s="233">
        <v>0.95626999999999995</v>
      </c>
      <c r="I526" s="233">
        <f>+H526*0.005</f>
        <v>4.7813500000000002E-3</v>
      </c>
      <c r="J526" s="233">
        <v>0</v>
      </c>
      <c r="K526" s="233">
        <v>0</v>
      </c>
      <c r="L526" s="233">
        <f>+H526*(8.5/100)</f>
        <v>8.1282950000000007E-2</v>
      </c>
      <c r="M526" s="237">
        <v>0</v>
      </c>
      <c r="N526" s="233">
        <v>0</v>
      </c>
      <c r="O526" s="233">
        <f t="shared" si="76"/>
        <v>8.606430000000001E-2</v>
      </c>
      <c r="P526" s="233">
        <f t="shared" si="83"/>
        <v>0</v>
      </c>
      <c r="Q526" s="233">
        <f t="shared" si="84"/>
        <v>8.606430000000001E-2</v>
      </c>
      <c r="R526" s="217" t="s">
        <v>19</v>
      </c>
      <c r="S526" s="216" t="s">
        <v>29</v>
      </c>
      <c r="T526" s="222" t="s">
        <v>344</v>
      </c>
      <c r="U526" s="222"/>
      <c r="V526" s="222"/>
    </row>
    <row r="527" spans="1:30" ht="86.45" customHeight="1" x14ac:dyDescent="0.75">
      <c r="A527" s="330">
        <v>191</v>
      </c>
      <c r="B527" s="324" t="s">
        <v>844</v>
      </c>
      <c r="C527" s="330" t="s">
        <v>511</v>
      </c>
      <c r="D527" s="347">
        <v>493149040240</v>
      </c>
      <c r="E527" s="347" t="s">
        <v>1298</v>
      </c>
      <c r="F527" s="216" t="s">
        <v>18</v>
      </c>
      <c r="G527" s="216">
        <v>15.1</v>
      </c>
      <c r="H527" s="233">
        <v>49.317464999999999</v>
      </c>
      <c r="I527" s="233">
        <f>+H527*0.005</f>
        <v>0.246587325</v>
      </c>
      <c r="J527" s="233">
        <v>0</v>
      </c>
      <c r="K527" s="233">
        <v>0</v>
      </c>
      <c r="L527" s="233">
        <f>+H527*(8.5/100)</f>
        <v>4.1919845250000005</v>
      </c>
      <c r="M527" s="237">
        <v>0</v>
      </c>
      <c r="N527" s="233">
        <v>0</v>
      </c>
      <c r="O527" s="233">
        <f t="shared" si="76"/>
        <v>4.4385718500000007</v>
      </c>
      <c r="P527" s="233">
        <f t="shared" si="83"/>
        <v>0</v>
      </c>
      <c r="Q527" s="233">
        <f t="shared" si="84"/>
        <v>4.4385718500000007</v>
      </c>
      <c r="R527" s="217" t="s">
        <v>305</v>
      </c>
      <c r="S527" s="216" t="s">
        <v>346</v>
      </c>
      <c r="T527" s="222" t="s">
        <v>344</v>
      </c>
      <c r="U527" s="222"/>
      <c r="V527" s="222"/>
    </row>
    <row r="528" spans="1:30" ht="86.45" customHeight="1" x14ac:dyDescent="0.75">
      <c r="A528" s="331"/>
      <c r="B528" s="325"/>
      <c r="C528" s="331"/>
      <c r="D528" s="349"/>
      <c r="E528" s="349"/>
      <c r="F528" s="216" t="s">
        <v>20</v>
      </c>
      <c r="G528" s="216">
        <v>8</v>
      </c>
      <c r="H528" s="233">
        <v>55.930590000000002</v>
      </c>
      <c r="I528" s="233">
        <f>+H528*0.005</f>
        <v>0.27965295000000001</v>
      </c>
      <c r="J528" s="233">
        <v>0</v>
      </c>
      <c r="K528" s="233">
        <v>0</v>
      </c>
      <c r="L528" s="233">
        <f>+H528*(8.5/100)</f>
        <v>4.7541001500000002</v>
      </c>
      <c r="M528" s="237">
        <v>0</v>
      </c>
      <c r="N528" s="233">
        <v>0</v>
      </c>
      <c r="O528" s="233">
        <f t="shared" si="76"/>
        <v>5.0337531000000002</v>
      </c>
      <c r="P528" s="233">
        <f t="shared" si="83"/>
        <v>0</v>
      </c>
      <c r="Q528" s="233">
        <f t="shared" si="84"/>
        <v>5.0337531000000002</v>
      </c>
      <c r="R528" s="217" t="s">
        <v>19</v>
      </c>
      <c r="S528" s="216" t="s">
        <v>447</v>
      </c>
      <c r="T528" s="222" t="s">
        <v>344</v>
      </c>
      <c r="U528" s="222"/>
      <c r="V528" s="222"/>
    </row>
    <row r="529" spans="1:30" ht="86.45" customHeight="1" x14ac:dyDescent="0.75">
      <c r="A529" s="331"/>
      <c r="B529" s="325"/>
      <c r="C529" s="331"/>
      <c r="D529" s="349"/>
      <c r="E529" s="348"/>
      <c r="F529" s="216" t="s">
        <v>21</v>
      </c>
      <c r="G529" s="216">
        <v>8</v>
      </c>
      <c r="H529" s="233">
        <v>22.369727000000001</v>
      </c>
      <c r="I529" s="233">
        <f>+H529*0.01</f>
        <v>0.22369727</v>
      </c>
      <c r="J529" s="233">
        <v>0</v>
      </c>
      <c r="K529" s="233">
        <v>0</v>
      </c>
      <c r="L529" s="233">
        <f>+H529*(10/100)</f>
        <v>2.2369727000000004</v>
      </c>
      <c r="M529" s="237">
        <v>0</v>
      </c>
      <c r="N529" s="233">
        <v>0</v>
      </c>
      <c r="O529" s="233">
        <f t="shared" si="76"/>
        <v>2.4606699700000005</v>
      </c>
      <c r="P529" s="233">
        <f t="shared" si="83"/>
        <v>0</v>
      </c>
      <c r="Q529" s="233">
        <f t="shared" si="84"/>
        <v>2.4606699700000005</v>
      </c>
      <c r="R529" s="217" t="s">
        <v>19</v>
      </c>
      <c r="S529" s="216" t="s">
        <v>490</v>
      </c>
      <c r="T529" s="222" t="s">
        <v>344</v>
      </c>
      <c r="U529" s="222"/>
      <c r="V529" s="222"/>
      <c r="W529" s="14"/>
      <c r="X529" s="14"/>
      <c r="Y529" s="14"/>
      <c r="Z529" s="14"/>
      <c r="AA529" s="14"/>
      <c r="AB529" s="14"/>
      <c r="AC529" s="14"/>
      <c r="AD529" s="14"/>
    </row>
    <row r="530" spans="1:30" ht="86.45" customHeight="1" x14ac:dyDescent="0.75">
      <c r="A530" s="332"/>
      <c r="B530" s="326"/>
      <c r="C530" s="332"/>
      <c r="D530" s="348"/>
      <c r="E530" s="260" t="s">
        <v>1386</v>
      </c>
      <c r="F530" s="269"/>
      <c r="G530" s="383" t="s">
        <v>1387</v>
      </c>
      <c r="H530" s="383"/>
      <c r="I530" s="383"/>
      <c r="J530" s="383"/>
      <c r="K530" s="383"/>
      <c r="L530" s="383"/>
      <c r="M530" s="383"/>
      <c r="N530" s="383"/>
      <c r="O530" s="383"/>
      <c r="P530" s="383"/>
      <c r="Q530" s="383"/>
      <c r="R530" s="383"/>
      <c r="S530" s="384"/>
      <c r="T530" s="222"/>
      <c r="U530" s="222"/>
      <c r="V530" s="222"/>
      <c r="W530" s="14"/>
      <c r="X530" s="14"/>
      <c r="Y530" s="14"/>
      <c r="Z530" s="14"/>
      <c r="AA530" s="14"/>
      <c r="AB530" s="14"/>
      <c r="AC530" s="14"/>
      <c r="AD530" s="14"/>
    </row>
    <row r="531" spans="1:30" ht="86.45" customHeight="1" x14ac:dyDescent="0.75">
      <c r="A531" s="333">
        <v>192</v>
      </c>
      <c r="B531" s="353" t="s">
        <v>845</v>
      </c>
      <c r="C531" s="333" t="s">
        <v>511</v>
      </c>
      <c r="D531" s="354">
        <v>420819011940</v>
      </c>
      <c r="E531" s="221"/>
      <c r="F531" s="216" t="s">
        <v>20</v>
      </c>
      <c r="G531" s="216">
        <v>5</v>
      </c>
      <c r="H531" s="233">
        <v>18.751439000000001</v>
      </c>
      <c r="I531" s="233">
        <f>+H531*0.005</f>
        <v>9.3757195000000015E-2</v>
      </c>
      <c r="J531" s="233">
        <v>0</v>
      </c>
      <c r="K531" s="233">
        <v>0</v>
      </c>
      <c r="L531" s="233">
        <f>+H531*(8.5/100)</f>
        <v>1.5938723150000003</v>
      </c>
      <c r="M531" s="237">
        <v>0</v>
      </c>
      <c r="N531" s="233">
        <v>0</v>
      </c>
      <c r="O531" s="233">
        <f t="shared" si="76"/>
        <v>1.6876295100000003</v>
      </c>
      <c r="P531" s="233">
        <f t="shared" si="83"/>
        <v>0</v>
      </c>
      <c r="Q531" s="233">
        <f t="shared" si="84"/>
        <v>1.6876295100000003</v>
      </c>
      <c r="R531" s="217" t="s">
        <v>19</v>
      </c>
      <c r="S531" s="216" t="s">
        <v>449</v>
      </c>
      <c r="T531" s="222" t="s">
        <v>344</v>
      </c>
      <c r="U531" s="222"/>
      <c r="V531" s="222"/>
    </row>
    <row r="532" spans="1:30" ht="86.45" customHeight="1" x14ac:dyDescent="0.75">
      <c r="A532" s="333"/>
      <c r="B532" s="353"/>
      <c r="C532" s="333"/>
      <c r="D532" s="354"/>
      <c r="E532" s="221"/>
      <c r="F532" s="216" t="s">
        <v>21</v>
      </c>
      <c r="G532" s="216">
        <v>5</v>
      </c>
      <c r="H532" s="233">
        <v>6.7317879999999999</v>
      </c>
      <c r="I532" s="233">
        <f>+H532*0.01</f>
        <v>6.7317879999999997E-2</v>
      </c>
      <c r="J532" s="233">
        <v>0</v>
      </c>
      <c r="K532" s="233">
        <v>0</v>
      </c>
      <c r="L532" s="233">
        <f>+H532*(10/100)</f>
        <v>0.67317880000000008</v>
      </c>
      <c r="M532" s="237">
        <v>0</v>
      </c>
      <c r="N532" s="233">
        <v>0</v>
      </c>
      <c r="O532" s="233">
        <f t="shared" si="76"/>
        <v>0.74049668000000013</v>
      </c>
      <c r="P532" s="233">
        <f t="shared" si="83"/>
        <v>0</v>
      </c>
      <c r="Q532" s="233">
        <f t="shared" si="84"/>
        <v>0.74049668000000013</v>
      </c>
      <c r="R532" s="217" t="s">
        <v>19</v>
      </c>
      <c r="S532" s="216" t="s">
        <v>489</v>
      </c>
      <c r="T532" s="222" t="s">
        <v>344</v>
      </c>
      <c r="U532" s="222"/>
      <c r="V532" s="222"/>
    </row>
    <row r="533" spans="1:30" ht="86.45" customHeight="1" x14ac:dyDescent="0.75">
      <c r="A533" s="216">
        <v>193</v>
      </c>
      <c r="B533" s="220" t="s">
        <v>846</v>
      </c>
      <c r="C533" s="216" t="s">
        <v>511</v>
      </c>
      <c r="D533" s="221">
        <v>410019004167</v>
      </c>
      <c r="E533" s="221"/>
      <c r="F533" s="216" t="s">
        <v>20</v>
      </c>
      <c r="G533" s="216">
        <v>3.5</v>
      </c>
      <c r="H533" s="233">
        <v>17.14574</v>
      </c>
      <c r="I533" s="233">
        <f>+H533*0.005</f>
        <v>8.5728700000000005E-2</v>
      </c>
      <c r="J533" s="233">
        <v>0</v>
      </c>
      <c r="K533" s="233">
        <v>0</v>
      </c>
      <c r="L533" s="233">
        <f>+H533*(8.5/100)</f>
        <v>1.4573879000000001</v>
      </c>
      <c r="M533" s="237">
        <v>0</v>
      </c>
      <c r="N533" s="233">
        <v>0</v>
      </c>
      <c r="O533" s="233">
        <f t="shared" si="76"/>
        <v>1.5431166000000001</v>
      </c>
      <c r="P533" s="233">
        <f t="shared" si="83"/>
        <v>0</v>
      </c>
      <c r="Q533" s="233">
        <f t="shared" si="84"/>
        <v>1.5431166000000001</v>
      </c>
      <c r="R533" s="217" t="s">
        <v>19</v>
      </c>
      <c r="S533" s="216" t="s">
        <v>449</v>
      </c>
      <c r="T533" s="222" t="s">
        <v>344</v>
      </c>
      <c r="U533" s="222"/>
      <c r="V533" s="222"/>
    </row>
    <row r="534" spans="1:30" ht="86.45" customHeight="1" x14ac:dyDescent="0.75">
      <c r="A534" s="216">
        <v>194</v>
      </c>
      <c r="B534" s="220" t="s">
        <v>847</v>
      </c>
      <c r="C534" s="216" t="s">
        <v>511</v>
      </c>
      <c r="D534" s="221">
        <v>251019006710</v>
      </c>
      <c r="E534" s="221"/>
      <c r="F534" s="216" t="s">
        <v>20</v>
      </c>
      <c r="G534" s="216">
        <v>1</v>
      </c>
      <c r="H534" s="233">
        <v>0.82584000000000002</v>
      </c>
      <c r="I534" s="233">
        <f>+H534*0.005</f>
        <v>4.1292000000000004E-3</v>
      </c>
      <c r="J534" s="233">
        <v>0</v>
      </c>
      <c r="K534" s="233">
        <f>(5)*1000/1000000</f>
        <v>5.0000000000000001E-3</v>
      </c>
      <c r="L534" s="233">
        <f>+H534*(8.5/100)</f>
        <v>7.0196400000000006E-2</v>
      </c>
      <c r="M534" s="237">
        <v>0</v>
      </c>
      <c r="N534" s="233">
        <f>(71)*1000/1000000</f>
        <v>7.0999999999999994E-2</v>
      </c>
      <c r="O534" s="233">
        <f t="shared" si="76"/>
        <v>7.4325600000000006E-2</v>
      </c>
      <c r="P534" s="233">
        <f t="shared" si="83"/>
        <v>7.5999999999999998E-2</v>
      </c>
      <c r="Q534" s="233">
        <f t="shared" si="84"/>
        <v>-1.6743999999999926E-3</v>
      </c>
      <c r="R534" s="217" t="s">
        <v>284</v>
      </c>
      <c r="S534" s="216" t="s">
        <v>987</v>
      </c>
      <c r="T534" s="222" t="s">
        <v>282</v>
      </c>
      <c r="U534" s="222" t="s">
        <v>310</v>
      </c>
      <c r="V534" s="222"/>
    </row>
    <row r="535" spans="1:30" s="244" customFormat="1" ht="86.45" customHeight="1" x14ac:dyDescent="0.75">
      <c r="A535" s="330">
        <v>195</v>
      </c>
      <c r="B535" s="324" t="s">
        <v>848</v>
      </c>
      <c r="C535" s="330" t="s">
        <v>511</v>
      </c>
      <c r="D535" s="347">
        <v>370019002626</v>
      </c>
      <c r="E535" s="221" t="s">
        <v>1298</v>
      </c>
      <c r="F535" s="216" t="s">
        <v>20</v>
      </c>
      <c r="G535" s="216">
        <v>1.5</v>
      </c>
      <c r="H535" s="233">
        <v>4.7447999999999997</v>
      </c>
      <c r="I535" s="233">
        <f>+H535*0.005</f>
        <v>2.3723999999999999E-2</v>
      </c>
      <c r="J535" s="233">
        <v>0</v>
      </c>
      <c r="K535" s="233">
        <f>(24)*1000/1000000</f>
        <v>2.4E-2</v>
      </c>
      <c r="L535" s="233">
        <f>+H535*(8.5/100)</f>
        <v>0.403308</v>
      </c>
      <c r="M535" s="237">
        <v>0</v>
      </c>
      <c r="N535" s="233">
        <f>(404)*1000/1000000</f>
        <v>0.40400000000000003</v>
      </c>
      <c r="O535" s="233">
        <f t="shared" si="76"/>
        <v>0.42703200000000002</v>
      </c>
      <c r="P535" s="233">
        <f t="shared" si="83"/>
        <v>0.42800000000000005</v>
      </c>
      <c r="Q535" s="233">
        <f t="shared" si="84"/>
        <v>-9.680000000000244E-4</v>
      </c>
      <c r="R535" s="217" t="s">
        <v>284</v>
      </c>
      <c r="S535" s="216" t="s">
        <v>1080</v>
      </c>
      <c r="T535" s="243" t="s">
        <v>282</v>
      </c>
      <c r="U535" s="243" t="s">
        <v>310</v>
      </c>
      <c r="V535" s="243"/>
    </row>
    <row r="536" spans="1:30" s="244" customFormat="1" ht="86.45" customHeight="1" x14ac:dyDescent="0.75">
      <c r="A536" s="331"/>
      <c r="B536" s="325"/>
      <c r="C536" s="331"/>
      <c r="D536" s="349"/>
      <c r="E536" s="350" t="s">
        <v>1334</v>
      </c>
      <c r="F536" s="254" t="s">
        <v>20</v>
      </c>
      <c r="G536" s="254">
        <v>1.5</v>
      </c>
      <c r="H536" s="255">
        <v>4.7448009999999998</v>
      </c>
      <c r="I536" s="255">
        <f>+H536*0.005</f>
        <v>2.3724004999999999E-2</v>
      </c>
      <c r="J536" s="255">
        <v>0</v>
      </c>
      <c r="K536" s="255">
        <v>2.4E-2</v>
      </c>
      <c r="L536" s="255">
        <f>+H536*(8.5/100)</f>
        <v>0.40330808500000004</v>
      </c>
      <c r="M536" s="256">
        <v>0</v>
      </c>
      <c r="N536" s="255">
        <v>0.40400000000000003</v>
      </c>
      <c r="O536" s="255">
        <f t="shared" si="76"/>
        <v>0.42703209000000003</v>
      </c>
      <c r="P536" s="255">
        <v>0.42799999999999999</v>
      </c>
      <c r="Q536" s="255">
        <v>0</v>
      </c>
      <c r="R536" s="258"/>
      <c r="S536" s="254"/>
      <c r="T536" s="243"/>
      <c r="U536" s="243"/>
      <c r="V536" s="243"/>
    </row>
    <row r="537" spans="1:30" s="244" customFormat="1" ht="86.45" customHeight="1" x14ac:dyDescent="0.75">
      <c r="A537" s="332"/>
      <c r="B537" s="326"/>
      <c r="C537" s="332"/>
      <c r="D537" s="348"/>
      <c r="E537" s="352"/>
      <c r="F537" s="254" t="s">
        <v>21</v>
      </c>
      <c r="G537" s="254">
        <v>4.5</v>
      </c>
      <c r="H537" s="255">
        <v>22.4833</v>
      </c>
      <c r="I537" s="255">
        <v>0.22483300000000001</v>
      </c>
      <c r="J537" s="255">
        <v>0</v>
      </c>
      <c r="K537" s="255">
        <v>0.224</v>
      </c>
      <c r="L537" s="255">
        <v>2.2483</v>
      </c>
      <c r="M537" s="256">
        <v>0</v>
      </c>
      <c r="N537" s="255">
        <v>2.3679999999999999</v>
      </c>
      <c r="O537" s="255">
        <v>2.4731000000000001</v>
      </c>
      <c r="P537" s="255">
        <v>2.5920000000000001</v>
      </c>
      <c r="Q537" s="255">
        <v>0</v>
      </c>
      <c r="R537" s="258"/>
      <c r="S537" s="254"/>
      <c r="T537" s="243"/>
      <c r="U537" s="243"/>
      <c r="V537" s="243"/>
    </row>
    <row r="538" spans="1:30" ht="86.45" customHeight="1" x14ac:dyDescent="0.75">
      <c r="A538" s="330">
        <v>196</v>
      </c>
      <c r="B538" s="366" t="s">
        <v>901</v>
      </c>
      <c r="C538" s="333" t="s">
        <v>511</v>
      </c>
      <c r="D538" s="347">
        <v>31129010081</v>
      </c>
      <c r="E538" s="221"/>
      <c r="F538" s="216" t="s">
        <v>21</v>
      </c>
      <c r="G538" s="216">
        <v>8</v>
      </c>
      <c r="H538" s="233">
        <v>17.672000000000001</v>
      </c>
      <c r="I538" s="233">
        <f>+H538*0.01</f>
        <v>0.17672000000000002</v>
      </c>
      <c r="J538" s="233">
        <v>0</v>
      </c>
      <c r="K538" s="233">
        <f>((169)*1000/1000000)</f>
        <v>0.16900000000000001</v>
      </c>
      <c r="L538" s="233">
        <f>+H538*(10/100)</f>
        <v>1.7672000000000001</v>
      </c>
      <c r="M538" s="237">
        <v>0</v>
      </c>
      <c r="N538" s="233">
        <f>((1554+135)*1000/1000000)</f>
        <v>1.6890000000000001</v>
      </c>
      <c r="O538" s="233">
        <f>+I538+L538</f>
        <v>1.9439200000000001</v>
      </c>
      <c r="P538" s="233">
        <f>+((J538+K538)+(M538+N538))</f>
        <v>1.8580000000000001</v>
      </c>
      <c r="Q538" s="233">
        <f>+O538-P538</f>
        <v>8.5919999999999996E-2</v>
      </c>
      <c r="R538" s="217" t="s">
        <v>284</v>
      </c>
      <c r="S538" s="216" t="s">
        <v>1081</v>
      </c>
      <c r="T538" s="222" t="s">
        <v>282</v>
      </c>
      <c r="U538" s="222" t="s">
        <v>283</v>
      </c>
      <c r="V538" s="222"/>
    </row>
    <row r="539" spans="1:30" ht="86.45" customHeight="1" x14ac:dyDescent="0.75">
      <c r="A539" s="331"/>
      <c r="B539" s="367"/>
      <c r="C539" s="333"/>
      <c r="D539" s="349"/>
      <c r="E539" s="221"/>
      <c r="F539" s="216" t="s">
        <v>24</v>
      </c>
      <c r="G539" s="229">
        <v>9.8000000000000007</v>
      </c>
      <c r="H539" s="233">
        <v>14.460463000000001</v>
      </c>
      <c r="I539" s="233">
        <f>+H539*(2.75/100)</f>
        <v>0.3976627325</v>
      </c>
      <c r="J539" s="233">
        <v>0</v>
      </c>
      <c r="K539" s="233">
        <f>((380)*1000)/1000000</f>
        <v>0.38</v>
      </c>
      <c r="L539" s="233">
        <f>+H539*(11/100)</f>
        <v>1.59065093</v>
      </c>
      <c r="M539" s="237">
        <v>0</v>
      </c>
      <c r="N539" s="233">
        <f>((514+1004)*1000)/1000000</f>
        <v>1.518</v>
      </c>
      <c r="O539" s="233">
        <f t="shared" si="76"/>
        <v>1.9883136625</v>
      </c>
      <c r="P539" s="233">
        <f t="shared" si="83"/>
        <v>1.8980000000000001</v>
      </c>
      <c r="Q539" s="233">
        <f t="shared" si="84"/>
        <v>9.0313662499999836E-2</v>
      </c>
      <c r="R539" s="217" t="s">
        <v>497</v>
      </c>
      <c r="S539" s="217" t="s">
        <v>127</v>
      </c>
      <c r="T539" s="222" t="s">
        <v>282</v>
      </c>
      <c r="U539" s="222" t="s">
        <v>283</v>
      </c>
      <c r="V539" s="222"/>
      <c r="W539" s="14"/>
      <c r="X539" s="14"/>
      <c r="Y539" s="14"/>
      <c r="Z539" s="14"/>
      <c r="AA539" s="14"/>
      <c r="AB539" s="14"/>
      <c r="AC539" s="14"/>
      <c r="AD539" s="14"/>
    </row>
    <row r="540" spans="1:30" ht="86.45" customHeight="1" x14ac:dyDescent="0.75">
      <c r="A540" s="332"/>
      <c r="B540" s="368"/>
      <c r="C540" s="333"/>
      <c r="D540" s="348"/>
      <c r="E540" s="221"/>
      <c r="F540" s="216" t="s">
        <v>27</v>
      </c>
      <c r="G540" s="217">
        <v>11.4</v>
      </c>
      <c r="H540" s="233">
        <v>27.764980000000001</v>
      </c>
      <c r="I540" s="233">
        <f>+H540*(3.5/100)</f>
        <v>0.97177430000000009</v>
      </c>
      <c r="J540" s="233">
        <v>0</v>
      </c>
      <c r="K540" s="233">
        <v>0</v>
      </c>
      <c r="L540" s="233">
        <f>+H540*(11.5/100)</f>
        <v>3.1929727000000003</v>
      </c>
      <c r="M540" s="237">
        <v>0</v>
      </c>
      <c r="N540" s="233">
        <v>0</v>
      </c>
      <c r="O540" s="233">
        <f t="shared" si="76"/>
        <v>4.1647470000000002</v>
      </c>
      <c r="P540" s="233">
        <f t="shared" si="83"/>
        <v>0</v>
      </c>
      <c r="Q540" s="233">
        <f t="shared" si="84"/>
        <v>4.1647470000000002</v>
      </c>
      <c r="R540" s="217" t="s">
        <v>500</v>
      </c>
      <c r="S540" s="217" t="s">
        <v>128</v>
      </c>
      <c r="T540" s="222" t="s">
        <v>282</v>
      </c>
      <c r="U540" s="222" t="s">
        <v>283</v>
      </c>
      <c r="V540" s="222"/>
      <c r="W540" s="14"/>
      <c r="X540" s="14"/>
      <c r="Y540" s="14"/>
      <c r="Z540" s="14"/>
      <c r="AA540" s="14"/>
      <c r="AB540" s="14"/>
      <c r="AC540" s="14"/>
      <c r="AD540" s="14"/>
    </row>
    <row r="541" spans="1:30" ht="86.45" customHeight="1" x14ac:dyDescent="0.75">
      <c r="A541" s="333">
        <v>197</v>
      </c>
      <c r="B541" s="353" t="s">
        <v>778</v>
      </c>
      <c r="C541" s="333" t="s">
        <v>511</v>
      </c>
      <c r="D541" s="354">
        <v>28619031580</v>
      </c>
      <c r="E541" s="221"/>
      <c r="F541" s="216" t="s">
        <v>18</v>
      </c>
      <c r="G541" s="216">
        <v>1.5</v>
      </c>
      <c r="H541" s="233">
        <v>11.688234</v>
      </c>
      <c r="I541" s="233">
        <f>+H541*0.005</f>
        <v>5.8441170000000001E-2</v>
      </c>
      <c r="J541" s="233">
        <v>0</v>
      </c>
      <c r="K541" s="233">
        <f>(33+40)*1000/1000000</f>
        <v>7.2999999999999995E-2</v>
      </c>
      <c r="L541" s="233">
        <f>+H541*(8.5/100)</f>
        <v>0.99349989000000005</v>
      </c>
      <c r="M541" s="237">
        <v>0</v>
      </c>
      <c r="N541" s="233">
        <f>(562+676)*1000/1000000</f>
        <v>1.238</v>
      </c>
      <c r="O541" s="233">
        <f t="shared" si="76"/>
        <v>1.0519410600000001</v>
      </c>
      <c r="P541" s="233">
        <f t="shared" si="83"/>
        <v>1.3109999999999999</v>
      </c>
      <c r="Q541" s="233">
        <f t="shared" si="84"/>
        <v>-0.25905893999999985</v>
      </c>
      <c r="R541" s="217" t="s">
        <v>284</v>
      </c>
      <c r="S541" s="216" t="s">
        <v>1082</v>
      </c>
      <c r="T541" s="222" t="s">
        <v>282</v>
      </c>
      <c r="U541" s="222" t="s">
        <v>316</v>
      </c>
      <c r="V541" s="222"/>
    </row>
    <row r="542" spans="1:30" ht="86.45" customHeight="1" x14ac:dyDescent="0.75">
      <c r="A542" s="333"/>
      <c r="B542" s="353"/>
      <c r="C542" s="333"/>
      <c r="D542" s="354"/>
      <c r="E542" s="221"/>
      <c r="F542" s="216" t="s">
        <v>20</v>
      </c>
      <c r="G542" s="216">
        <v>1.8</v>
      </c>
      <c r="H542" s="233">
        <v>14.988199</v>
      </c>
      <c r="I542" s="233">
        <f>+H542*0.005</f>
        <v>7.4940994999999996E-2</v>
      </c>
      <c r="J542" s="233">
        <v>0</v>
      </c>
      <c r="K542" s="233">
        <v>0</v>
      </c>
      <c r="L542" s="233">
        <f>+H542*(8.5/100)</f>
        <v>1.2739969150000001</v>
      </c>
      <c r="M542" s="237">
        <v>0</v>
      </c>
      <c r="N542" s="233">
        <v>0</v>
      </c>
      <c r="O542" s="233">
        <f t="shared" ref="O542:O619" si="93">+I542+L542</f>
        <v>1.3489379100000001</v>
      </c>
      <c r="P542" s="233">
        <f t="shared" si="83"/>
        <v>0</v>
      </c>
      <c r="Q542" s="233">
        <f t="shared" si="84"/>
        <v>1.3489379100000001</v>
      </c>
      <c r="R542" s="217" t="s">
        <v>19</v>
      </c>
      <c r="S542" s="216" t="s">
        <v>447</v>
      </c>
      <c r="T542" s="222" t="s">
        <v>344</v>
      </c>
      <c r="U542" s="222"/>
      <c r="V542" s="222"/>
    </row>
    <row r="543" spans="1:30" ht="86.45" customHeight="1" x14ac:dyDescent="0.75">
      <c r="A543" s="333">
        <v>198</v>
      </c>
      <c r="B543" s="353" t="s">
        <v>849</v>
      </c>
      <c r="C543" s="333" t="s">
        <v>511</v>
      </c>
      <c r="D543" s="354">
        <v>36249007735</v>
      </c>
      <c r="E543" s="221"/>
      <c r="F543" s="216" t="s">
        <v>18</v>
      </c>
      <c r="G543" s="216">
        <v>1.2</v>
      </c>
      <c r="H543" s="233">
        <v>1.6491960000000001</v>
      </c>
      <c r="I543" s="233">
        <f>+H543*0.005</f>
        <v>8.24598E-3</v>
      </c>
      <c r="J543" s="233">
        <v>0</v>
      </c>
      <c r="K543" s="233">
        <v>3.0000000000000001E-3</v>
      </c>
      <c r="L543" s="233">
        <f>+H543*(8.5/100)</f>
        <v>0.14018166000000001</v>
      </c>
      <c r="M543" s="237">
        <v>0</v>
      </c>
      <c r="N543" s="233">
        <v>5.5E-2</v>
      </c>
      <c r="O543" s="233">
        <f t="shared" si="93"/>
        <v>0.14842764000000003</v>
      </c>
      <c r="P543" s="233">
        <f t="shared" si="83"/>
        <v>5.8000000000000003E-2</v>
      </c>
      <c r="Q543" s="233">
        <f t="shared" si="84"/>
        <v>9.0427640000000031E-2</v>
      </c>
      <c r="R543" s="217" t="s">
        <v>284</v>
      </c>
      <c r="S543" s="216" t="s">
        <v>1083</v>
      </c>
      <c r="T543" s="222" t="s">
        <v>282</v>
      </c>
      <c r="U543" s="222" t="s">
        <v>283</v>
      </c>
      <c r="V543" s="222"/>
    </row>
    <row r="544" spans="1:30" ht="86.45" customHeight="1" x14ac:dyDescent="0.75">
      <c r="A544" s="333"/>
      <c r="B544" s="353"/>
      <c r="C544" s="333"/>
      <c r="D544" s="354"/>
      <c r="E544" s="221"/>
      <c r="F544" s="216" t="s">
        <v>20</v>
      </c>
      <c r="G544" s="216">
        <v>1.2</v>
      </c>
      <c r="H544" s="233">
        <v>11.423163000000001</v>
      </c>
      <c r="I544" s="233">
        <f>+H544*0.005</f>
        <v>5.7115815000000007E-2</v>
      </c>
      <c r="J544" s="233">
        <v>0</v>
      </c>
      <c r="K544" s="233">
        <f>((28+10+9+5)*1000)/1000000</f>
        <v>5.1999999999999998E-2</v>
      </c>
      <c r="L544" s="233">
        <f>+H544*(8.5/100)</f>
        <v>0.97096885500000008</v>
      </c>
      <c r="M544" s="237">
        <v>0</v>
      </c>
      <c r="N544" s="233">
        <f>((468+150+254+72)*1000)/1000000</f>
        <v>0.94399999999999995</v>
      </c>
      <c r="O544" s="233">
        <f t="shared" si="93"/>
        <v>1.0280846700000001</v>
      </c>
      <c r="P544" s="233">
        <f t="shared" si="83"/>
        <v>0.996</v>
      </c>
      <c r="Q544" s="233">
        <f t="shared" si="84"/>
        <v>3.2084670000000148E-2</v>
      </c>
      <c r="R544" s="217" t="s">
        <v>284</v>
      </c>
      <c r="S544" s="216" t="s">
        <v>1084</v>
      </c>
      <c r="T544" s="222" t="s">
        <v>279</v>
      </c>
      <c r="U544" s="222" t="s">
        <v>283</v>
      </c>
      <c r="V544" s="222"/>
    </row>
    <row r="545" spans="1:30" ht="86.45" customHeight="1" x14ac:dyDescent="0.75">
      <c r="A545" s="216">
        <v>199</v>
      </c>
      <c r="B545" s="220" t="s">
        <v>850</v>
      </c>
      <c r="C545" s="216" t="s">
        <v>511</v>
      </c>
      <c r="D545" s="221">
        <v>293599084700</v>
      </c>
      <c r="E545" s="221"/>
      <c r="F545" s="216" t="s">
        <v>18</v>
      </c>
      <c r="G545" s="216">
        <v>2</v>
      </c>
      <c r="H545" s="233">
        <v>1.6454230000000001</v>
      </c>
      <c r="I545" s="233">
        <f>+H545*0.005</f>
        <v>8.2271150000000001E-3</v>
      </c>
      <c r="J545" s="233">
        <v>0</v>
      </c>
      <c r="K545" s="233">
        <v>0</v>
      </c>
      <c r="L545" s="233">
        <f>+H545*(8.5/100)</f>
        <v>0.13986095500000001</v>
      </c>
      <c r="M545" s="237">
        <v>0</v>
      </c>
      <c r="N545" s="233">
        <v>0</v>
      </c>
      <c r="O545" s="233">
        <f t="shared" si="93"/>
        <v>0.14808807000000002</v>
      </c>
      <c r="P545" s="233">
        <f t="shared" si="83"/>
        <v>0</v>
      </c>
      <c r="Q545" s="233">
        <f t="shared" si="84"/>
        <v>0.14808807000000002</v>
      </c>
      <c r="R545" s="217" t="s">
        <v>19</v>
      </c>
      <c r="S545" s="216" t="s">
        <v>346</v>
      </c>
      <c r="T545" s="222" t="s">
        <v>344</v>
      </c>
      <c r="U545" s="222"/>
      <c r="V545" s="222"/>
    </row>
    <row r="546" spans="1:30" s="244" customFormat="1" ht="86.45" customHeight="1" x14ac:dyDescent="0.75">
      <c r="A546" s="330">
        <v>200</v>
      </c>
      <c r="B546" s="324" t="s">
        <v>851</v>
      </c>
      <c r="C546" s="330" t="s">
        <v>511</v>
      </c>
      <c r="D546" s="347">
        <v>275269009534</v>
      </c>
      <c r="E546" s="221" t="s">
        <v>1298</v>
      </c>
      <c r="F546" s="247" t="s">
        <v>20</v>
      </c>
      <c r="G546" s="216">
        <v>3.0249999999999999</v>
      </c>
      <c r="H546" s="233">
        <v>4.7260799999999996</v>
      </c>
      <c r="I546" s="233">
        <f t="shared" ref="I546:I559" si="94">+H546*0.005</f>
        <v>2.3630399999999999E-2</v>
      </c>
      <c r="J546" s="233">
        <v>0</v>
      </c>
      <c r="K546" s="233">
        <v>2.1000000000000001E-2</v>
      </c>
      <c r="L546" s="233">
        <f t="shared" ref="L546:L559" si="95">+H546*(8.5/100)</f>
        <v>0.40171679999999999</v>
      </c>
      <c r="M546" s="237">
        <v>0</v>
      </c>
      <c r="N546" s="233">
        <v>0.36199999999999999</v>
      </c>
      <c r="O546" s="233">
        <f t="shared" si="93"/>
        <v>0.42534719999999998</v>
      </c>
      <c r="P546" s="233">
        <f t="shared" si="83"/>
        <v>0.38300000000000001</v>
      </c>
      <c r="Q546" s="233">
        <f t="shared" si="84"/>
        <v>4.2347199999999974E-2</v>
      </c>
      <c r="R546" s="217" t="s">
        <v>284</v>
      </c>
      <c r="S546" s="216" t="s">
        <v>1043</v>
      </c>
      <c r="T546" s="243" t="s">
        <v>282</v>
      </c>
      <c r="U546" s="243" t="s">
        <v>283</v>
      </c>
      <c r="V546" s="243"/>
    </row>
    <row r="547" spans="1:30" s="244" customFormat="1" ht="86.45" customHeight="1" x14ac:dyDescent="0.75">
      <c r="A547" s="332"/>
      <c r="B547" s="326"/>
      <c r="C547" s="332"/>
      <c r="D547" s="348"/>
      <c r="E547" s="260" t="s">
        <v>1315</v>
      </c>
      <c r="F547" s="259" t="s">
        <v>20</v>
      </c>
      <c r="G547" s="254">
        <v>3.0249999999999999</v>
      </c>
      <c r="H547" s="255">
        <v>4.2496999999999998</v>
      </c>
      <c r="I547" s="255">
        <f t="shared" si="94"/>
        <v>2.12485E-2</v>
      </c>
      <c r="J547" s="255">
        <v>0</v>
      </c>
      <c r="K547" s="255">
        <v>2.1000000000000001E-2</v>
      </c>
      <c r="L547" s="255">
        <f t="shared" si="95"/>
        <v>0.3612245</v>
      </c>
      <c r="M547" s="256">
        <v>0</v>
      </c>
      <c r="N547" s="255">
        <v>0.36199999999999999</v>
      </c>
      <c r="O547" s="255">
        <v>0.38240000000000002</v>
      </c>
      <c r="P547" s="255">
        <v>0.38300000000000001</v>
      </c>
      <c r="Q547" s="255">
        <v>5.1999999999999995E-4</v>
      </c>
      <c r="R547" s="258"/>
      <c r="S547" s="254"/>
      <c r="T547" s="243"/>
      <c r="U547" s="243"/>
      <c r="V547" s="243"/>
    </row>
    <row r="548" spans="1:30" ht="86.45" customHeight="1" x14ac:dyDescent="0.75">
      <c r="A548" s="216">
        <v>201</v>
      </c>
      <c r="B548" s="220" t="s">
        <v>852</v>
      </c>
      <c r="C548" s="216" t="s">
        <v>511</v>
      </c>
      <c r="D548" s="221">
        <v>159027530</v>
      </c>
      <c r="E548" s="221"/>
      <c r="F548" s="216" t="s">
        <v>20</v>
      </c>
      <c r="G548" s="216">
        <v>3</v>
      </c>
      <c r="H548" s="233">
        <v>19.152000000000001</v>
      </c>
      <c r="I548" s="233">
        <f t="shared" si="94"/>
        <v>9.5760000000000012E-2</v>
      </c>
      <c r="J548" s="233">
        <v>0</v>
      </c>
      <c r="K548" s="233">
        <v>0</v>
      </c>
      <c r="L548" s="233">
        <f t="shared" si="95"/>
        <v>1.6279200000000003</v>
      </c>
      <c r="M548" s="237">
        <v>0</v>
      </c>
      <c r="N548" s="233">
        <v>0</v>
      </c>
      <c r="O548" s="233">
        <f t="shared" si="93"/>
        <v>1.7236800000000003</v>
      </c>
      <c r="P548" s="233">
        <f t="shared" si="83"/>
        <v>0</v>
      </c>
      <c r="Q548" s="233">
        <f t="shared" si="84"/>
        <v>1.7236800000000003</v>
      </c>
      <c r="R548" s="217" t="s">
        <v>19</v>
      </c>
      <c r="S548" s="216" t="s">
        <v>449</v>
      </c>
      <c r="T548" s="222" t="s">
        <v>344</v>
      </c>
      <c r="U548" s="222"/>
      <c r="V548" s="222"/>
    </row>
    <row r="549" spans="1:30" ht="86.45" customHeight="1" x14ac:dyDescent="0.75">
      <c r="A549" s="216">
        <v>203</v>
      </c>
      <c r="B549" s="220" t="s">
        <v>853</v>
      </c>
      <c r="C549" s="216" t="s">
        <v>511</v>
      </c>
      <c r="D549" s="221">
        <v>299006875</v>
      </c>
      <c r="E549" s="221"/>
      <c r="F549" s="216" t="s">
        <v>20</v>
      </c>
      <c r="G549" s="216">
        <v>1</v>
      </c>
      <c r="H549" s="233">
        <v>6.7157280000000004</v>
      </c>
      <c r="I549" s="233">
        <f t="shared" si="94"/>
        <v>3.357864E-2</v>
      </c>
      <c r="J549" s="233">
        <v>0</v>
      </c>
      <c r="K549" s="233">
        <f>(29)*1000/1000000</f>
        <v>2.9000000000000001E-2</v>
      </c>
      <c r="L549" s="233">
        <f t="shared" si="95"/>
        <v>0.5708368800000001</v>
      </c>
      <c r="M549" s="237">
        <v>0</v>
      </c>
      <c r="N549" s="233">
        <f>(492)*1000/1000000</f>
        <v>0.49199999999999999</v>
      </c>
      <c r="O549" s="233">
        <f t="shared" si="93"/>
        <v>0.60441552000000009</v>
      </c>
      <c r="P549" s="233">
        <f t="shared" si="83"/>
        <v>0.52100000000000002</v>
      </c>
      <c r="Q549" s="233">
        <f t="shared" si="84"/>
        <v>8.3415520000000076E-2</v>
      </c>
      <c r="R549" s="217" t="s">
        <v>284</v>
      </c>
      <c r="S549" s="216" t="s">
        <v>995</v>
      </c>
      <c r="T549" s="222" t="s">
        <v>282</v>
      </c>
      <c r="U549" s="222" t="s">
        <v>283</v>
      </c>
      <c r="V549" s="222"/>
    </row>
    <row r="550" spans="1:30" ht="86.45" customHeight="1" x14ac:dyDescent="0.75">
      <c r="A550" s="333">
        <v>204</v>
      </c>
      <c r="B550" s="353" t="s">
        <v>854</v>
      </c>
      <c r="C550" s="333" t="s">
        <v>511</v>
      </c>
      <c r="D550" s="354">
        <v>41019019444</v>
      </c>
      <c r="E550" s="221"/>
      <c r="F550" s="216" t="s">
        <v>18</v>
      </c>
      <c r="G550" s="216">
        <v>3</v>
      </c>
      <c r="H550" s="233">
        <v>24.113752000000002</v>
      </c>
      <c r="I550" s="233">
        <f t="shared" si="94"/>
        <v>0.12056876000000001</v>
      </c>
      <c r="J550" s="233">
        <v>0</v>
      </c>
      <c r="K550" s="233">
        <v>0</v>
      </c>
      <c r="L550" s="233">
        <f t="shared" si="95"/>
        <v>2.0496689200000002</v>
      </c>
      <c r="M550" s="237">
        <v>0</v>
      </c>
      <c r="N550" s="233">
        <v>0</v>
      </c>
      <c r="O550" s="233">
        <f t="shared" si="93"/>
        <v>2.1702376800000001</v>
      </c>
      <c r="P550" s="233">
        <f t="shared" si="83"/>
        <v>0</v>
      </c>
      <c r="Q550" s="233">
        <f t="shared" si="84"/>
        <v>2.1702376800000001</v>
      </c>
      <c r="R550" s="217" t="s">
        <v>19</v>
      </c>
      <c r="S550" s="216" t="s">
        <v>346</v>
      </c>
      <c r="T550" s="222" t="s">
        <v>344</v>
      </c>
      <c r="U550" s="222"/>
      <c r="V550" s="222"/>
    </row>
    <row r="551" spans="1:30" ht="86.45" customHeight="1" x14ac:dyDescent="0.75">
      <c r="A551" s="333"/>
      <c r="B551" s="353"/>
      <c r="C551" s="333"/>
      <c r="D551" s="354"/>
      <c r="E551" s="221"/>
      <c r="F551" s="216" t="s">
        <v>20</v>
      </c>
      <c r="G551" s="216">
        <v>3</v>
      </c>
      <c r="H551" s="233">
        <v>30.326239999999999</v>
      </c>
      <c r="I551" s="233">
        <f t="shared" si="94"/>
        <v>0.15163119999999999</v>
      </c>
      <c r="J551" s="233">
        <v>0</v>
      </c>
      <c r="K551" s="233">
        <v>0</v>
      </c>
      <c r="L551" s="233">
        <f t="shared" si="95"/>
        <v>2.5777304000000001</v>
      </c>
      <c r="M551" s="237">
        <v>0</v>
      </c>
      <c r="N551" s="233">
        <v>0</v>
      </c>
      <c r="O551" s="233">
        <f t="shared" si="93"/>
        <v>2.7293616000000003</v>
      </c>
      <c r="P551" s="233">
        <f t="shared" si="83"/>
        <v>0</v>
      </c>
      <c r="Q551" s="233">
        <f t="shared" si="84"/>
        <v>2.7293616000000003</v>
      </c>
      <c r="R551" s="217" t="s">
        <v>19</v>
      </c>
      <c r="S551" s="216" t="s">
        <v>449</v>
      </c>
      <c r="T551" s="222" t="s">
        <v>344</v>
      </c>
      <c r="U551" s="222"/>
      <c r="V551" s="222"/>
    </row>
    <row r="552" spans="1:30" ht="86.45" customHeight="1" x14ac:dyDescent="0.75">
      <c r="A552" s="330">
        <v>205</v>
      </c>
      <c r="B552" s="324" t="s">
        <v>855</v>
      </c>
      <c r="C552" s="330" t="s">
        <v>511</v>
      </c>
      <c r="D552" s="347">
        <v>186849005967</v>
      </c>
      <c r="E552" s="347" t="s">
        <v>1298</v>
      </c>
      <c r="F552" s="216" t="s">
        <v>18</v>
      </c>
      <c r="G552" s="216">
        <v>3</v>
      </c>
      <c r="H552" s="233">
        <v>28.132496</v>
      </c>
      <c r="I552" s="233">
        <f t="shared" si="94"/>
        <v>0.14066248000000001</v>
      </c>
      <c r="J552" s="233">
        <v>0</v>
      </c>
      <c r="K552" s="233">
        <f>(10+12+10+22+22+10+12)*1000/1000000</f>
        <v>9.8000000000000004E-2</v>
      </c>
      <c r="L552" s="233">
        <f t="shared" si="95"/>
        <v>2.3912621600000001</v>
      </c>
      <c r="M552" s="237">
        <v>0</v>
      </c>
      <c r="N552" s="233">
        <f>(183+190+180+372+366+184+190)*1000/1000000</f>
        <v>1.665</v>
      </c>
      <c r="O552" s="233">
        <f t="shared" si="93"/>
        <v>2.5319246400000002</v>
      </c>
      <c r="P552" s="233">
        <f t="shared" si="83"/>
        <v>1.7630000000000001</v>
      </c>
      <c r="Q552" s="233">
        <f t="shared" si="84"/>
        <v>0.76892464000000005</v>
      </c>
      <c r="R552" s="217" t="s">
        <v>277</v>
      </c>
      <c r="S552" s="216" t="s">
        <v>1085</v>
      </c>
      <c r="T552" s="219" t="s">
        <v>282</v>
      </c>
      <c r="U552" s="219" t="s">
        <v>283</v>
      </c>
      <c r="V552" s="219"/>
      <c r="W552" s="1"/>
      <c r="X552" s="1"/>
      <c r="Y552" s="1"/>
      <c r="Z552" s="1"/>
      <c r="AA552" s="1"/>
      <c r="AB552" s="1"/>
      <c r="AC552" s="1"/>
      <c r="AD552" s="1"/>
    </row>
    <row r="553" spans="1:30" ht="86.45" customHeight="1" x14ac:dyDescent="0.75">
      <c r="A553" s="331"/>
      <c r="B553" s="325"/>
      <c r="C553" s="331"/>
      <c r="D553" s="349"/>
      <c r="E553" s="348"/>
      <c r="F553" s="216" t="s">
        <v>20</v>
      </c>
      <c r="G553" s="216">
        <v>3.5</v>
      </c>
      <c r="H553" s="233">
        <v>33.063423999999998</v>
      </c>
      <c r="I553" s="233">
        <f t="shared" si="94"/>
        <v>0.16531711999999998</v>
      </c>
      <c r="J553" s="233">
        <v>0</v>
      </c>
      <c r="K553" s="233">
        <f>((50+92+16)*1000)/1000000</f>
        <v>0.158</v>
      </c>
      <c r="L553" s="233">
        <f t="shared" si="95"/>
        <v>2.8103910399999998</v>
      </c>
      <c r="M553" s="237">
        <v>0</v>
      </c>
      <c r="N553" s="233">
        <f>((700+1724+249)*1000)/1000000</f>
        <v>2.673</v>
      </c>
      <c r="O553" s="233">
        <f t="shared" si="93"/>
        <v>2.9757081599999999</v>
      </c>
      <c r="P553" s="233">
        <f t="shared" si="83"/>
        <v>2.831</v>
      </c>
      <c r="Q553" s="233">
        <f t="shared" si="84"/>
        <v>0.14470815999999997</v>
      </c>
      <c r="R553" s="217" t="s">
        <v>19</v>
      </c>
      <c r="S553" s="216" t="s">
        <v>1086</v>
      </c>
      <c r="T553" s="222" t="s">
        <v>282</v>
      </c>
      <c r="U553" s="222" t="s">
        <v>283</v>
      </c>
      <c r="V553" s="222"/>
    </row>
    <row r="554" spans="1:30" ht="86.45" customHeight="1" x14ac:dyDescent="0.75">
      <c r="A554" s="331"/>
      <c r="B554" s="325"/>
      <c r="C554" s="331"/>
      <c r="D554" s="349"/>
      <c r="E554" s="327" t="s">
        <v>1421</v>
      </c>
      <c r="F554" s="254" t="s">
        <v>18</v>
      </c>
      <c r="G554" s="254">
        <v>3</v>
      </c>
      <c r="H554" s="255">
        <v>26.055199999999999</v>
      </c>
      <c r="I554" s="255">
        <f t="shared" si="94"/>
        <v>0.130276</v>
      </c>
      <c r="J554" s="255">
        <v>0</v>
      </c>
      <c r="K554" s="255">
        <v>0.13100000000000001</v>
      </c>
      <c r="L554" s="255">
        <f t="shared" si="95"/>
        <v>2.2146919999999999</v>
      </c>
      <c r="M554" s="256">
        <v>0</v>
      </c>
      <c r="N554" s="255">
        <v>2.2149999999999999</v>
      </c>
      <c r="O554" s="255">
        <f t="shared" si="93"/>
        <v>2.3449679999999997</v>
      </c>
      <c r="P554" s="255">
        <f>N554+K554</f>
        <v>2.3460000000000001</v>
      </c>
      <c r="Q554" s="255">
        <f t="shared" si="84"/>
        <v>-1.032000000000366E-3</v>
      </c>
      <c r="R554" s="258"/>
      <c r="S554" s="254"/>
      <c r="T554" s="222"/>
      <c r="U554" s="222"/>
      <c r="V554" s="222"/>
    </row>
    <row r="555" spans="1:30" ht="86.45" customHeight="1" x14ac:dyDescent="0.75">
      <c r="A555" s="331"/>
      <c r="B555" s="325"/>
      <c r="C555" s="331"/>
      <c r="D555" s="349"/>
      <c r="E555" s="328"/>
      <c r="F555" s="254" t="s">
        <v>20</v>
      </c>
      <c r="G555" s="254">
        <v>3.5</v>
      </c>
      <c r="H555" s="255">
        <v>31.591899999999999</v>
      </c>
      <c r="I555" s="255">
        <f t="shared" si="94"/>
        <v>0.1579595</v>
      </c>
      <c r="J555" s="255">
        <v>0</v>
      </c>
      <c r="K555" s="255">
        <v>0.158</v>
      </c>
      <c r="L555" s="255">
        <f t="shared" si="95"/>
        <v>2.6853115000000001</v>
      </c>
      <c r="M555" s="256">
        <v>0</v>
      </c>
      <c r="N555" s="255">
        <v>2.673</v>
      </c>
      <c r="O555" s="255">
        <f t="shared" si="93"/>
        <v>2.8432710000000001</v>
      </c>
      <c r="P555" s="255">
        <f>N555+K555</f>
        <v>2.831</v>
      </c>
      <c r="Q555" s="255">
        <f t="shared" si="84"/>
        <v>1.2271000000000143E-2</v>
      </c>
      <c r="R555" s="258"/>
      <c r="S555" s="254"/>
      <c r="T555" s="222"/>
      <c r="U555" s="222"/>
      <c r="V555" s="222"/>
    </row>
    <row r="556" spans="1:30" ht="86.45" customHeight="1" x14ac:dyDescent="0.75">
      <c r="A556" s="331"/>
      <c r="B556" s="325"/>
      <c r="C556" s="331"/>
      <c r="D556" s="349"/>
      <c r="E556" s="328"/>
      <c r="F556" s="254" t="s">
        <v>21</v>
      </c>
      <c r="G556" s="254">
        <v>4</v>
      </c>
      <c r="H556" s="255">
        <v>31.477699999999999</v>
      </c>
      <c r="I556" s="255">
        <f>+H556*0.01</f>
        <v>0.31477699999999997</v>
      </c>
      <c r="J556" s="255">
        <v>0</v>
      </c>
      <c r="K556" s="255">
        <v>0.152</v>
      </c>
      <c r="L556" s="255">
        <f>+H556*(10/100)</f>
        <v>3.14777</v>
      </c>
      <c r="M556" s="256">
        <v>0.35099999999999998</v>
      </c>
      <c r="N556" s="255">
        <v>2.7109999999999999</v>
      </c>
      <c r="O556" s="255">
        <f t="shared" si="93"/>
        <v>3.4625469999999998</v>
      </c>
      <c r="P556" s="255">
        <f>N556+K556+M556</f>
        <v>3.214</v>
      </c>
      <c r="Q556" s="255">
        <f t="shared" si="84"/>
        <v>0.24854699999999985</v>
      </c>
      <c r="R556" s="258"/>
      <c r="S556" s="254"/>
      <c r="T556" s="222"/>
      <c r="U556" s="222"/>
      <c r="V556" s="222"/>
    </row>
    <row r="557" spans="1:30" ht="86.45" customHeight="1" x14ac:dyDescent="0.75">
      <c r="A557" s="331"/>
      <c r="B557" s="325"/>
      <c r="C557" s="331"/>
      <c r="D557" s="349"/>
      <c r="E557" s="328"/>
      <c r="F557" s="254" t="s">
        <v>22</v>
      </c>
      <c r="G557" s="254">
        <v>4</v>
      </c>
      <c r="H557" s="255">
        <v>34.207999999999998</v>
      </c>
      <c r="I557" s="255">
        <f>+H557*0.02</f>
        <v>0.68415999999999999</v>
      </c>
      <c r="J557" s="255">
        <v>0</v>
      </c>
      <c r="K557" s="255">
        <v>0.54200000000000004</v>
      </c>
      <c r="L557" s="255">
        <f>+H557*(10.5/100)</f>
        <v>3.5918399999999999</v>
      </c>
      <c r="M557" s="256">
        <v>0</v>
      </c>
      <c r="N557" s="255">
        <v>3.5209999999999999</v>
      </c>
      <c r="O557" s="255">
        <f t="shared" si="93"/>
        <v>4.2759999999999998</v>
      </c>
      <c r="P557" s="255">
        <f>N557+K557+M557</f>
        <v>4.0629999999999997</v>
      </c>
      <c r="Q557" s="255">
        <f t="shared" si="84"/>
        <v>0.21300000000000008</v>
      </c>
      <c r="R557" s="258"/>
      <c r="S557" s="254"/>
      <c r="T557" s="222"/>
      <c r="U557" s="222"/>
      <c r="V557" s="222"/>
    </row>
    <row r="558" spans="1:30" ht="86.45" customHeight="1" x14ac:dyDescent="0.75">
      <c r="A558" s="332"/>
      <c r="B558" s="326"/>
      <c r="C558" s="332"/>
      <c r="D558" s="348"/>
      <c r="E558" s="329"/>
      <c r="F558" s="254" t="s">
        <v>27</v>
      </c>
      <c r="G558" s="254">
        <v>3</v>
      </c>
      <c r="H558" s="255">
        <v>2.0920000000000001</v>
      </c>
      <c r="I558" s="255">
        <f>+H558*0.035</f>
        <v>7.3220000000000007E-2</v>
      </c>
      <c r="J558" s="255">
        <v>0</v>
      </c>
      <c r="K558" s="255">
        <v>0</v>
      </c>
      <c r="L558" s="255">
        <f>+H558*(11.5/100)</f>
        <v>0.24058000000000002</v>
      </c>
      <c r="M558" s="256">
        <v>0</v>
      </c>
      <c r="N558" s="255">
        <v>0</v>
      </c>
      <c r="O558" s="255">
        <f t="shared" si="93"/>
        <v>0.31380000000000002</v>
      </c>
      <c r="P558" s="255">
        <f>N558+K558+M558</f>
        <v>0</v>
      </c>
      <c r="Q558" s="255">
        <f t="shared" si="84"/>
        <v>0.31380000000000002</v>
      </c>
      <c r="R558" s="258"/>
      <c r="S558" s="254"/>
      <c r="T558" s="222"/>
      <c r="U558" s="222"/>
      <c r="V558" s="222"/>
    </row>
    <row r="559" spans="1:30" ht="86.45" customHeight="1" x14ac:dyDescent="0.75">
      <c r="A559" s="333">
        <v>206</v>
      </c>
      <c r="B559" s="353" t="s">
        <v>716</v>
      </c>
      <c r="C559" s="333" t="s">
        <v>511</v>
      </c>
      <c r="D559" s="354">
        <v>170019036990</v>
      </c>
      <c r="E559" s="221"/>
      <c r="F559" s="216" t="s">
        <v>20</v>
      </c>
      <c r="G559" s="216">
        <v>15</v>
      </c>
      <c r="H559" s="233">
        <v>17.261060000000001</v>
      </c>
      <c r="I559" s="233">
        <f t="shared" si="94"/>
        <v>8.6305300000000001E-2</v>
      </c>
      <c r="J559" s="233">
        <v>0</v>
      </c>
      <c r="K559" s="233">
        <f>(83)*1000/1000000</f>
        <v>8.3000000000000004E-2</v>
      </c>
      <c r="L559" s="233">
        <f t="shared" si="95"/>
        <v>1.4671901000000001</v>
      </c>
      <c r="M559" s="237">
        <v>0</v>
      </c>
      <c r="N559" s="233">
        <f>(1411)*1000/1000000</f>
        <v>1.411</v>
      </c>
      <c r="O559" s="233">
        <f t="shared" si="93"/>
        <v>1.5534954000000001</v>
      </c>
      <c r="P559" s="233">
        <f t="shared" si="83"/>
        <v>1.494</v>
      </c>
      <c r="Q559" s="233">
        <f t="shared" si="84"/>
        <v>5.9495400000000087E-2</v>
      </c>
      <c r="R559" s="217" t="s">
        <v>284</v>
      </c>
      <c r="S559" s="216" t="s">
        <v>1087</v>
      </c>
      <c r="T559" s="222" t="s">
        <v>282</v>
      </c>
      <c r="U559" s="222" t="s">
        <v>283</v>
      </c>
      <c r="V559" s="222"/>
    </row>
    <row r="560" spans="1:30" ht="86.45" customHeight="1" x14ac:dyDescent="0.75">
      <c r="A560" s="333"/>
      <c r="B560" s="353"/>
      <c r="C560" s="333"/>
      <c r="D560" s="354"/>
      <c r="E560" s="221"/>
      <c r="F560" s="216" t="s">
        <v>21</v>
      </c>
      <c r="G560" s="216">
        <v>10.5</v>
      </c>
      <c r="H560" s="233">
        <v>70.254165</v>
      </c>
      <c r="I560" s="233">
        <f>+H560*0.01</f>
        <v>0.70254165000000002</v>
      </c>
      <c r="J560" s="233">
        <v>0</v>
      </c>
      <c r="K560" s="233">
        <f>((64+176+125)*1000)/1000000</f>
        <v>0.36499999999999999</v>
      </c>
      <c r="L560" s="233">
        <f>+H560*(10/100)</f>
        <v>7.0254165000000004</v>
      </c>
      <c r="M560" s="237">
        <v>0</v>
      </c>
      <c r="N560" s="233">
        <f>((640+1775+1244)*1000)/1000000</f>
        <v>3.6589999999999998</v>
      </c>
      <c r="O560" s="233">
        <f t="shared" si="93"/>
        <v>7.7279581500000001</v>
      </c>
      <c r="P560" s="233">
        <f t="shared" si="83"/>
        <v>4.024</v>
      </c>
      <c r="Q560" s="233">
        <f t="shared" si="84"/>
        <v>3.7039581500000001</v>
      </c>
      <c r="R560" s="217" t="s">
        <v>284</v>
      </c>
      <c r="S560" s="216" t="s">
        <v>1088</v>
      </c>
      <c r="T560" s="222" t="s">
        <v>282</v>
      </c>
      <c r="U560" s="222" t="s">
        <v>283</v>
      </c>
      <c r="V560" s="222"/>
    </row>
    <row r="561" spans="1:30" ht="86.45" customHeight="1" x14ac:dyDescent="0.75">
      <c r="A561" s="333"/>
      <c r="B561" s="353"/>
      <c r="C561" s="333"/>
      <c r="D561" s="354"/>
      <c r="E561" s="221"/>
      <c r="F561" s="216" t="s">
        <v>22</v>
      </c>
      <c r="G561" s="223">
        <v>10.5</v>
      </c>
      <c r="H561" s="233">
        <f>23322423/1000000</f>
        <v>23.322423000000001</v>
      </c>
      <c r="I561" s="233">
        <f>+H561*0.02</f>
        <v>0.46644846000000001</v>
      </c>
      <c r="J561" s="233">
        <v>0</v>
      </c>
      <c r="K561" s="233">
        <f>(448*1000)/1000000</f>
        <v>0.44800000000000001</v>
      </c>
      <c r="L561" s="233">
        <f>+H561*(10.5/100)</f>
        <v>2.448854415</v>
      </c>
      <c r="M561" s="237">
        <v>0</v>
      </c>
      <c r="N561" s="233">
        <f>((281+810+1258)*1000)/1000000</f>
        <v>2.3490000000000002</v>
      </c>
      <c r="O561" s="233">
        <f t="shared" si="93"/>
        <v>2.9153028750000001</v>
      </c>
      <c r="P561" s="233">
        <f t="shared" si="83"/>
        <v>2.7970000000000002</v>
      </c>
      <c r="Q561" s="233">
        <f t="shared" si="84"/>
        <v>0.11830287499999992</v>
      </c>
      <c r="R561" s="216" t="s">
        <v>19</v>
      </c>
      <c r="S561" s="216" t="s">
        <v>132</v>
      </c>
      <c r="T561" s="222" t="s">
        <v>282</v>
      </c>
      <c r="U561" s="222" t="s">
        <v>283</v>
      </c>
      <c r="V561" s="222"/>
      <c r="W561" s="14"/>
      <c r="X561" s="14"/>
      <c r="Y561" s="14"/>
      <c r="Z561" s="14"/>
      <c r="AA561" s="14"/>
      <c r="AB561" s="14"/>
      <c r="AC561" s="14"/>
      <c r="AD561" s="14"/>
    </row>
    <row r="562" spans="1:30" ht="86.45" customHeight="1" x14ac:dyDescent="0.75">
      <c r="A562" s="216">
        <v>207</v>
      </c>
      <c r="B562" s="220" t="s">
        <v>856</v>
      </c>
      <c r="C562" s="216" t="s">
        <v>511</v>
      </c>
      <c r="D562" s="221">
        <v>340139051690</v>
      </c>
      <c r="E562" s="221"/>
      <c r="F562" s="216" t="s">
        <v>20</v>
      </c>
      <c r="G562" s="216">
        <v>1.45</v>
      </c>
      <c r="H562" s="233">
        <v>1.5984</v>
      </c>
      <c r="I562" s="233">
        <f>+H562*0.005</f>
        <v>7.9920000000000008E-3</v>
      </c>
      <c r="J562" s="233">
        <v>0</v>
      </c>
      <c r="K562" s="233">
        <f>((7*1000)/1000000)</f>
        <v>7.0000000000000001E-3</v>
      </c>
      <c r="L562" s="233">
        <f>+H562*(8.5/100)</f>
        <v>0.13586400000000001</v>
      </c>
      <c r="M562" s="237">
        <v>0</v>
      </c>
      <c r="N562" s="233">
        <f>((122*1000)/1000000)</f>
        <v>0.122</v>
      </c>
      <c r="O562" s="233">
        <f t="shared" si="93"/>
        <v>0.14385600000000001</v>
      </c>
      <c r="P562" s="233">
        <f t="shared" si="83"/>
        <v>0.129</v>
      </c>
      <c r="Q562" s="233">
        <f t="shared" si="84"/>
        <v>1.4856000000000008E-2</v>
      </c>
      <c r="R562" s="217" t="s">
        <v>19</v>
      </c>
      <c r="S562" s="216" t="s">
        <v>1089</v>
      </c>
      <c r="T562" s="222" t="s">
        <v>282</v>
      </c>
      <c r="U562" s="222" t="s">
        <v>283</v>
      </c>
      <c r="V562" s="222"/>
    </row>
    <row r="563" spans="1:30" ht="86.45" customHeight="1" x14ac:dyDescent="0.75">
      <c r="A563" s="250">
        <v>208</v>
      </c>
      <c r="B563" s="355" t="s">
        <v>857</v>
      </c>
      <c r="C563" s="330" t="s">
        <v>511</v>
      </c>
      <c r="D563" s="347">
        <v>340019008687</v>
      </c>
      <c r="E563" s="221" t="s">
        <v>1298</v>
      </c>
      <c r="F563" s="216" t="s">
        <v>20</v>
      </c>
      <c r="G563" s="216">
        <v>2.8</v>
      </c>
      <c r="H563" s="233">
        <v>2.5881599999999998</v>
      </c>
      <c r="I563" s="233">
        <f>+H563*0.005</f>
        <v>1.2940799999999999E-2</v>
      </c>
      <c r="J563" s="233">
        <v>0</v>
      </c>
      <c r="K563" s="233">
        <f>((12*1000)/1000000)</f>
        <v>1.2E-2</v>
      </c>
      <c r="L563" s="233">
        <f>+H563*(8.5/100)</f>
        <v>0.21999360000000001</v>
      </c>
      <c r="M563" s="237">
        <v>0</v>
      </c>
      <c r="N563" s="233">
        <f>((198*1000)/1000000)</f>
        <v>0.19800000000000001</v>
      </c>
      <c r="O563" s="233">
        <f t="shared" si="93"/>
        <v>0.23293440000000001</v>
      </c>
      <c r="P563" s="233">
        <f t="shared" si="83"/>
        <v>0.21000000000000002</v>
      </c>
      <c r="Q563" s="233">
        <f t="shared" si="84"/>
        <v>2.2934399999999994E-2</v>
      </c>
      <c r="R563" s="217" t="s">
        <v>284</v>
      </c>
      <c r="S563" s="216" t="s">
        <v>965</v>
      </c>
      <c r="T563" s="222" t="s">
        <v>282</v>
      </c>
      <c r="U563" s="222" t="s">
        <v>283</v>
      </c>
      <c r="V563" s="222"/>
    </row>
    <row r="564" spans="1:30" ht="86.45" customHeight="1" x14ac:dyDescent="0.75">
      <c r="A564" s="252"/>
      <c r="B564" s="356"/>
      <c r="C564" s="332"/>
      <c r="D564" s="348"/>
      <c r="E564" s="260" t="s">
        <v>1359</v>
      </c>
      <c r="F564" s="254" t="s">
        <v>20</v>
      </c>
      <c r="G564" s="254">
        <v>2.8</v>
      </c>
      <c r="H564" s="255">
        <v>2.3321179999999999</v>
      </c>
      <c r="I564" s="255">
        <v>1.1660999999999999E-2</v>
      </c>
      <c r="J564" s="255">
        <v>0</v>
      </c>
      <c r="K564" s="255">
        <v>1.2E-2</v>
      </c>
      <c r="L564" s="255">
        <v>0.19822999999999999</v>
      </c>
      <c r="M564" s="256">
        <v>0</v>
      </c>
      <c r="N564" s="255">
        <v>0.19800000000000001</v>
      </c>
      <c r="O564" s="255">
        <v>0.20989099999999999</v>
      </c>
      <c r="P564" s="255">
        <v>0.21</v>
      </c>
      <c r="Q564" s="255">
        <v>-1.0900000000000001E-4</v>
      </c>
      <c r="R564" s="258"/>
      <c r="S564" s="254"/>
      <c r="T564" s="222"/>
      <c r="U564" s="222"/>
      <c r="V564" s="222"/>
    </row>
    <row r="565" spans="1:30" ht="86.45" customHeight="1" x14ac:dyDescent="0.75">
      <c r="A565" s="216">
        <v>209</v>
      </c>
      <c r="B565" s="220" t="s">
        <v>858</v>
      </c>
      <c r="C565" s="216" t="s">
        <v>511</v>
      </c>
      <c r="D565" s="221">
        <v>331549004331</v>
      </c>
      <c r="E565" s="221"/>
      <c r="F565" s="216" t="s">
        <v>20</v>
      </c>
      <c r="G565" s="216">
        <v>1.5</v>
      </c>
      <c r="H565" s="233">
        <v>6.725244</v>
      </c>
      <c r="I565" s="233">
        <f>+H565*0.005</f>
        <v>3.3626219999999998E-2</v>
      </c>
      <c r="J565" s="233">
        <v>0</v>
      </c>
      <c r="K565" s="233">
        <f>(((60)*1000)/1000000)</f>
        <v>0.06</v>
      </c>
      <c r="L565" s="233">
        <f>+H565*(8.5/100)</f>
        <v>0.57164574000000001</v>
      </c>
      <c r="M565" s="237">
        <v>0</v>
      </c>
      <c r="N565" s="233">
        <f>(((417+96+60)*1000)/1000000)</f>
        <v>0.57299999999999995</v>
      </c>
      <c r="O565" s="233">
        <f t="shared" si="93"/>
        <v>0.60527196000000005</v>
      </c>
      <c r="P565" s="233">
        <f t="shared" si="83"/>
        <v>0.63300000000000001</v>
      </c>
      <c r="Q565" s="233">
        <f t="shared" si="84"/>
        <v>-2.7728039999999954E-2</v>
      </c>
      <c r="R565" s="217" t="s">
        <v>19</v>
      </c>
      <c r="S565" s="216" t="s">
        <v>1041</v>
      </c>
      <c r="T565" s="222" t="s">
        <v>282</v>
      </c>
      <c r="U565" s="222" t="s">
        <v>310</v>
      </c>
      <c r="V565" s="222"/>
    </row>
    <row r="566" spans="1:30" ht="86.45" customHeight="1" x14ac:dyDescent="0.75">
      <c r="A566" s="216">
        <v>210</v>
      </c>
      <c r="B566" s="220" t="s">
        <v>902</v>
      </c>
      <c r="C566" s="216" t="s">
        <v>511</v>
      </c>
      <c r="D566" s="221">
        <v>181029042400</v>
      </c>
      <c r="E566" s="221"/>
      <c r="F566" s="216" t="s">
        <v>21</v>
      </c>
      <c r="G566" s="216">
        <v>6</v>
      </c>
      <c r="H566" s="233">
        <v>7.896128</v>
      </c>
      <c r="I566" s="233">
        <f>+H566*0.01</f>
        <v>7.8961280000000009E-2</v>
      </c>
      <c r="J566" s="233">
        <v>0</v>
      </c>
      <c r="K566" s="233">
        <v>0</v>
      </c>
      <c r="L566" s="233">
        <f>+H566*(10/100)</f>
        <v>0.7896128</v>
      </c>
      <c r="M566" s="237">
        <v>0</v>
      </c>
      <c r="N566" s="233">
        <v>0</v>
      </c>
      <c r="O566" s="233">
        <f t="shared" si="93"/>
        <v>0.86857408000000003</v>
      </c>
      <c r="P566" s="233">
        <f t="shared" si="83"/>
        <v>0</v>
      </c>
      <c r="Q566" s="233">
        <f t="shared" si="84"/>
        <v>0.86857408000000003</v>
      </c>
      <c r="R566" s="217" t="s">
        <v>19</v>
      </c>
      <c r="S566" s="216" t="s">
        <v>491</v>
      </c>
      <c r="T566" s="222" t="s">
        <v>344</v>
      </c>
      <c r="U566" s="222"/>
      <c r="V566" s="222"/>
    </row>
    <row r="567" spans="1:30" ht="86.45" customHeight="1" x14ac:dyDescent="0.75">
      <c r="A567" s="333">
        <v>211</v>
      </c>
      <c r="B567" s="353" t="s">
        <v>859</v>
      </c>
      <c r="C567" s="333" t="s">
        <v>511</v>
      </c>
      <c r="D567" s="354">
        <v>199000535</v>
      </c>
      <c r="E567" s="221"/>
      <c r="F567" s="216" t="s">
        <v>18</v>
      </c>
      <c r="G567" s="216">
        <v>5</v>
      </c>
      <c r="H567" s="233">
        <v>11.558130999999999</v>
      </c>
      <c r="I567" s="233">
        <f>+H567*0.005</f>
        <v>5.7790654999999996E-2</v>
      </c>
      <c r="J567" s="233">
        <v>0</v>
      </c>
      <c r="K567" s="233">
        <v>5.7000000000000002E-2</v>
      </c>
      <c r="L567" s="233">
        <f>+H567*(8.5/100)</f>
        <v>0.98244113500000008</v>
      </c>
      <c r="M567" s="237">
        <v>0</v>
      </c>
      <c r="N567" s="233">
        <v>0.93799999999999994</v>
      </c>
      <c r="O567" s="233">
        <f t="shared" si="93"/>
        <v>1.04023179</v>
      </c>
      <c r="P567" s="233">
        <f t="shared" si="83"/>
        <v>0.995</v>
      </c>
      <c r="Q567" s="233">
        <f t="shared" si="84"/>
        <v>4.5231789999999994E-2</v>
      </c>
      <c r="R567" s="217" t="s">
        <v>284</v>
      </c>
      <c r="S567" s="216" t="s">
        <v>1090</v>
      </c>
      <c r="T567" s="222" t="s">
        <v>282</v>
      </c>
      <c r="U567" s="222" t="s">
        <v>283</v>
      </c>
      <c r="V567" s="222"/>
    </row>
    <row r="568" spans="1:30" ht="86.45" customHeight="1" x14ac:dyDescent="0.75">
      <c r="A568" s="333"/>
      <c r="B568" s="353"/>
      <c r="C568" s="333"/>
      <c r="D568" s="354"/>
      <c r="E568" s="221"/>
      <c r="F568" s="216" t="s">
        <v>20</v>
      </c>
      <c r="G568" s="216">
        <v>25</v>
      </c>
      <c r="H568" s="233">
        <v>12.18708</v>
      </c>
      <c r="I568" s="233">
        <f>+H568*0.005</f>
        <v>6.0935400000000001E-2</v>
      </c>
      <c r="J568" s="233">
        <v>0</v>
      </c>
      <c r="K568" s="233">
        <v>5.8999999999999997E-2</v>
      </c>
      <c r="L568" s="233">
        <f>+H568*(8.5/100)</f>
        <v>1.0359018</v>
      </c>
      <c r="M568" s="237">
        <v>0</v>
      </c>
      <c r="N568" s="233">
        <v>0.99399999999999999</v>
      </c>
      <c r="O568" s="233">
        <f t="shared" si="93"/>
        <v>1.0968372</v>
      </c>
      <c r="P568" s="233">
        <f t="shared" si="83"/>
        <v>1.0529999999999999</v>
      </c>
      <c r="Q568" s="233">
        <f t="shared" si="84"/>
        <v>4.3837200000000021E-2</v>
      </c>
      <c r="R568" s="217" t="s">
        <v>284</v>
      </c>
      <c r="S568" s="216" t="s">
        <v>1043</v>
      </c>
      <c r="T568" s="222" t="s">
        <v>282</v>
      </c>
      <c r="U568" s="222" t="s">
        <v>283</v>
      </c>
      <c r="V568" s="222"/>
    </row>
    <row r="569" spans="1:30" ht="86.45" customHeight="1" x14ac:dyDescent="0.75">
      <c r="A569" s="333"/>
      <c r="B569" s="353"/>
      <c r="C569" s="333"/>
      <c r="D569" s="354"/>
      <c r="E569" s="221"/>
      <c r="F569" s="216" t="s">
        <v>21</v>
      </c>
      <c r="G569" s="216">
        <v>5</v>
      </c>
      <c r="H569" s="233">
        <v>10.409758999999999</v>
      </c>
      <c r="I569" s="233">
        <f>+H569*0.01</f>
        <v>0.10409758999999999</v>
      </c>
      <c r="J569" s="233">
        <v>0</v>
      </c>
      <c r="K569" s="233">
        <f>((47+62)*1000)/1000000</f>
        <v>0.109</v>
      </c>
      <c r="L569" s="233">
        <f>+H569*(10/100)</f>
        <v>1.0409759000000001</v>
      </c>
      <c r="M569" s="237">
        <v>108.384</v>
      </c>
      <c r="N569" s="233">
        <f>((612+355)*1000)/1000000</f>
        <v>0.96699999999999997</v>
      </c>
      <c r="O569" s="233">
        <f t="shared" si="93"/>
        <v>1.1450734900000001</v>
      </c>
      <c r="P569" s="233">
        <f t="shared" si="83"/>
        <v>109.46</v>
      </c>
      <c r="Q569" s="233">
        <f t="shared" si="84"/>
        <v>-108.31492650999999</v>
      </c>
      <c r="R569" s="217" t="s">
        <v>284</v>
      </c>
      <c r="S569" s="216" t="s">
        <v>1091</v>
      </c>
      <c r="T569" s="222" t="s">
        <v>282</v>
      </c>
      <c r="U569" s="222" t="s">
        <v>310</v>
      </c>
      <c r="V569" s="222"/>
    </row>
    <row r="570" spans="1:30" ht="86.45" customHeight="1" x14ac:dyDescent="0.75">
      <c r="A570" s="333"/>
      <c r="B570" s="353"/>
      <c r="C570" s="333"/>
      <c r="D570" s="354"/>
      <c r="E570" s="221"/>
      <c r="F570" s="216" t="s">
        <v>22</v>
      </c>
      <c r="G570" s="223">
        <v>5</v>
      </c>
      <c r="H570" s="233">
        <f>2928320/1000000</f>
        <v>2.9283199999999998</v>
      </c>
      <c r="I570" s="233">
        <f>+H570*0.02</f>
        <v>5.8566399999999998E-2</v>
      </c>
      <c r="J570" s="233">
        <v>0</v>
      </c>
      <c r="K570" s="233">
        <v>0</v>
      </c>
      <c r="L570" s="233">
        <f>+H570*(10.5/100)</f>
        <v>0.30747359999999996</v>
      </c>
      <c r="M570" s="233">
        <v>0</v>
      </c>
      <c r="N570" s="233">
        <f>((296)*1000)/1000000</f>
        <v>0.29599999999999999</v>
      </c>
      <c r="O570" s="233">
        <f t="shared" si="93"/>
        <v>0.36603999999999998</v>
      </c>
      <c r="P570" s="233">
        <f t="shared" si="83"/>
        <v>0.29599999999999999</v>
      </c>
      <c r="Q570" s="233">
        <f t="shared" si="84"/>
        <v>7.0039999999999991E-2</v>
      </c>
      <c r="R570" s="216" t="s">
        <v>284</v>
      </c>
      <c r="S570" s="216" t="s">
        <v>135</v>
      </c>
      <c r="T570" s="222" t="s">
        <v>282</v>
      </c>
      <c r="U570" s="222" t="s">
        <v>283</v>
      </c>
      <c r="V570" s="222"/>
      <c r="W570" s="14"/>
      <c r="X570" s="14"/>
      <c r="Y570" s="14"/>
      <c r="Z570" s="14"/>
      <c r="AA570" s="14"/>
      <c r="AB570" s="14"/>
      <c r="AC570" s="14"/>
      <c r="AD570" s="14"/>
    </row>
    <row r="571" spans="1:30" ht="86.45" customHeight="1" x14ac:dyDescent="0.75">
      <c r="A571" s="333">
        <v>212</v>
      </c>
      <c r="B571" s="353" t="s">
        <v>860</v>
      </c>
      <c r="C571" s="333" t="s">
        <v>511</v>
      </c>
      <c r="D571" s="354">
        <v>489024380</v>
      </c>
      <c r="E571" s="221"/>
      <c r="F571" s="216" t="s">
        <v>18</v>
      </c>
      <c r="G571" s="216">
        <v>1.1000000000000001</v>
      </c>
      <c r="H571" s="233">
        <v>10.319112000000001</v>
      </c>
      <c r="I571" s="233">
        <f>+H571*0.005</f>
        <v>5.1595560000000006E-2</v>
      </c>
      <c r="J571" s="233">
        <v>0</v>
      </c>
      <c r="K571" s="233">
        <v>0</v>
      </c>
      <c r="L571" s="233">
        <f>+H571*(8.5/100)</f>
        <v>0.87712452000000007</v>
      </c>
      <c r="M571" s="237">
        <v>0</v>
      </c>
      <c r="N571" s="233">
        <v>0</v>
      </c>
      <c r="O571" s="233">
        <f>+I571+L571</f>
        <v>0.92872008000000006</v>
      </c>
      <c r="P571" s="233">
        <f>+((J571+K571)+(M571+N571))</f>
        <v>0</v>
      </c>
      <c r="Q571" s="233">
        <f>+O571-P571</f>
        <v>0.92872008000000006</v>
      </c>
      <c r="R571" s="217" t="s">
        <v>19</v>
      </c>
      <c r="S571" s="216" t="s">
        <v>346</v>
      </c>
      <c r="T571" s="222" t="s">
        <v>344</v>
      </c>
      <c r="U571" s="222"/>
      <c r="V571" s="222"/>
    </row>
    <row r="572" spans="1:30" ht="86.45" customHeight="1" x14ac:dyDescent="0.75">
      <c r="A572" s="333"/>
      <c r="B572" s="353"/>
      <c r="C572" s="333"/>
      <c r="D572" s="354"/>
      <c r="E572" s="221"/>
      <c r="F572" s="216" t="s">
        <v>20</v>
      </c>
      <c r="G572" s="216">
        <v>1.1000000000000001</v>
      </c>
      <c r="H572" s="233">
        <v>10.591559999999999</v>
      </c>
      <c r="I572" s="233">
        <f>+H572*0.005</f>
        <v>5.2957799999999999E-2</v>
      </c>
      <c r="J572" s="233">
        <v>0</v>
      </c>
      <c r="K572" s="233">
        <v>0</v>
      </c>
      <c r="L572" s="233">
        <f>+H572*(8.5/100)</f>
        <v>0.90028260000000004</v>
      </c>
      <c r="M572" s="237">
        <v>0</v>
      </c>
      <c r="N572" s="233">
        <v>0</v>
      </c>
      <c r="O572" s="233">
        <f t="shared" si="93"/>
        <v>0.9532404000000001</v>
      </c>
      <c r="P572" s="233">
        <f t="shared" si="83"/>
        <v>0</v>
      </c>
      <c r="Q572" s="233">
        <f t="shared" si="84"/>
        <v>0.9532404000000001</v>
      </c>
      <c r="R572" s="217" t="s">
        <v>19</v>
      </c>
      <c r="S572" s="216" t="s">
        <v>446</v>
      </c>
      <c r="T572" s="222" t="s">
        <v>344</v>
      </c>
      <c r="U572" s="222"/>
      <c r="V572" s="222"/>
    </row>
    <row r="573" spans="1:30" ht="86.45" customHeight="1" x14ac:dyDescent="0.75">
      <c r="A573" s="216">
        <v>213</v>
      </c>
      <c r="B573" s="220" t="s">
        <v>903</v>
      </c>
      <c r="C573" s="216" t="s">
        <v>511</v>
      </c>
      <c r="D573" s="221">
        <v>119041310</v>
      </c>
      <c r="E573" s="221"/>
      <c r="F573" s="216" t="s">
        <v>21</v>
      </c>
      <c r="G573" s="216">
        <v>10</v>
      </c>
      <c r="H573" s="233">
        <v>2.2924799999999999</v>
      </c>
      <c r="I573" s="233">
        <f>+H573*0.01</f>
        <v>2.2924799999999999E-2</v>
      </c>
      <c r="J573" s="233">
        <v>0</v>
      </c>
      <c r="K573" s="233">
        <v>0</v>
      </c>
      <c r="L573" s="233">
        <f>+H573*(10/100)</f>
        <v>0.22924800000000001</v>
      </c>
      <c r="M573" s="237">
        <v>0</v>
      </c>
      <c r="N573" s="233">
        <v>0</v>
      </c>
      <c r="O573" s="233">
        <f t="shared" si="93"/>
        <v>0.25217280000000003</v>
      </c>
      <c r="P573" s="233">
        <f t="shared" si="83"/>
        <v>0</v>
      </c>
      <c r="Q573" s="233">
        <f t="shared" si="84"/>
        <v>0.25217280000000003</v>
      </c>
      <c r="R573" s="217" t="s">
        <v>19</v>
      </c>
      <c r="S573" s="216" t="s">
        <v>489</v>
      </c>
      <c r="T573" s="222" t="s">
        <v>344</v>
      </c>
      <c r="U573" s="222"/>
      <c r="V573" s="222"/>
    </row>
    <row r="574" spans="1:30" ht="86.45" customHeight="1" x14ac:dyDescent="0.75">
      <c r="A574" s="333">
        <v>214</v>
      </c>
      <c r="B574" s="353" t="s">
        <v>861</v>
      </c>
      <c r="C574" s="333" t="s">
        <v>511</v>
      </c>
      <c r="D574" s="354">
        <v>170149001550</v>
      </c>
      <c r="E574" s="221"/>
      <c r="F574" s="216" t="s">
        <v>20</v>
      </c>
      <c r="G574" s="216">
        <v>3</v>
      </c>
      <c r="H574" s="233">
        <v>27.451180000000001</v>
      </c>
      <c r="I574" s="233">
        <f>+H574*0.005</f>
        <v>0.13725590000000001</v>
      </c>
      <c r="J574" s="233">
        <f>(96673/1000000)</f>
        <v>9.6672999999999995E-2</v>
      </c>
      <c r="K574" s="233">
        <f>(((18+24)*1000)/1000000)</f>
        <v>4.2000000000000003E-2</v>
      </c>
      <c r="L574" s="233">
        <f>+H574*(8.5/100)</f>
        <v>2.3333503000000002</v>
      </c>
      <c r="M574" s="237">
        <v>0</v>
      </c>
      <c r="N574" s="233">
        <f>(((1372+303+659)*1000)/1000000)</f>
        <v>2.3340000000000001</v>
      </c>
      <c r="O574" s="233">
        <f t="shared" si="93"/>
        <v>2.4706062000000002</v>
      </c>
      <c r="P574" s="233">
        <f t="shared" si="83"/>
        <v>2.4726729999999999</v>
      </c>
      <c r="Q574" s="233">
        <f t="shared" si="84"/>
        <v>-2.0667999999997022E-3</v>
      </c>
      <c r="R574" s="217" t="s">
        <v>292</v>
      </c>
      <c r="S574" s="216" t="s">
        <v>1092</v>
      </c>
      <c r="T574" s="222" t="s">
        <v>282</v>
      </c>
      <c r="U574" s="222" t="s">
        <v>310</v>
      </c>
      <c r="V574" s="222"/>
    </row>
    <row r="575" spans="1:30" ht="86.45" customHeight="1" x14ac:dyDescent="0.75">
      <c r="A575" s="333"/>
      <c r="B575" s="353"/>
      <c r="C575" s="333"/>
      <c r="D575" s="354"/>
      <c r="E575" s="221"/>
      <c r="F575" s="216" t="s">
        <v>18</v>
      </c>
      <c r="G575" s="216">
        <v>3</v>
      </c>
      <c r="H575" s="233">
        <v>27.587344000000002</v>
      </c>
      <c r="I575" s="233">
        <f>+H575*0.005</f>
        <v>0.13793672000000001</v>
      </c>
      <c r="J575" s="233">
        <v>0</v>
      </c>
      <c r="K575" s="233">
        <v>0</v>
      </c>
      <c r="L575" s="233">
        <f>+H575*(8.5/100)</f>
        <v>2.3449242400000001</v>
      </c>
      <c r="M575" s="237">
        <v>0</v>
      </c>
      <c r="N575" s="233">
        <v>0</v>
      </c>
      <c r="O575" s="233">
        <f t="shared" si="93"/>
        <v>2.48286096</v>
      </c>
      <c r="P575" s="233">
        <f t="shared" si="83"/>
        <v>0</v>
      </c>
      <c r="Q575" s="233">
        <f t="shared" si="84"/>
        <v>2.48286096</v>
      </c>
      <c r="R575" s="217" t="s">
        <v>19</v>
      </c>
      <c r="S575" s="216" t="s">
        <v>346</v>
      </c>
      <c r="T575" s="222" t="s">
        <v>344</v>
      </c>
      <c r="U575" s="222"/>
      <c r="V575" s="222"/>
    </row>
    <row r="576" spans="1:30" ht="86.45" customHeight="1" x14ac:dyDescent="0.75">
      <c r="A576" s="333">
        <v>215</v>
      </c>
      <c r="B576" s="353" t="s">
        <v>862</v>
      </c>
      <c r="C576" s="333" t="s">
        <v>511</v>
      </c>
      <c r="D576" s="354">
        <v>203529022730</v>
      </c>
      <c r="E576" s="221"/>
      <c r="F576" s="216" t="s">
        <v>18</v>
      </c>
      <c r="G576" s="216">
        <v>6.77</v>
      </c>
      <c r="H576" s="233">
        <v>26.521509999999999</v>
      </c>
      <c r="I576" s="233">
        <f>+H576*0.005</f>
        <v>0.13260754999999999</v>
      </c>
      <c r="J576" s="233">
        <v>0</v>
      </c>
      <c r="K576" s="233">
        <v>0</v>
      </c>
      <c r="L576" s="233">
        <f>+H576*(8.5/100)</f>
        <v>2.2543283500000002</v>
      </c>
      <c r="M576" s="237">
        <v>0</v>
      </c>
      <c r="N576" s="233">
        <v>0</v>
      </c>
      <c r="O576" s="233">
        <f t="shared" si="93"/>
        <v>2.3869359000000001</v>
      </c>
      <c r="P576" s="233">
        <f t="shared" si="83"/>
        <v>0</v>
      </c>
      <c r="Q576" s="233">
        <f t="shared" si="84"/>
        <v>2.3869359000000001</v>
      </c>
      <c r="R576" s="217" t="s">
        <v>19</v>
      </c>
      <c r="S576" s="216" t="s">
        <v>346</v>
      </c>
      <c r="T576" s="222" t="s">
        <v>344</v>
      </c>
      <c r="U576" s="222"/>
      <c r="V576" s="222"/>
    </row>
    <row r="577" spans="1:30" ht="86.45" customHeight="1" x14ac:dyDescent="0.75">
      <c r="A577" s="333"/>
      <c r="B577" s="353"/>
      <c r="C577" s="333"/>
      <c r="D577" s="354"/>
      <c r="E577" s="221"/>
      <c r="F577" s="216" t="s">
        <v>20</v>
      </c>
      <c r="G577" s="216">
        <v>6.77</v>
      </c>
      <c r="H577" s="233">
        <v>32.977702000000001</v>
      </c>
      <c r="I577" s="233">
        <f>+H577*0.005</f>
        <v>0.16488851000000002</v>
      </c>
      <c r="J577" s="233">
        <v>0</v>
      </c>
      <c r="K577" s="233">
        <f>(((187)*1000)/1000000)</f>
        <v>0.187</v>
      </c>
      <c r="L577" s="233">
        <f>+H577*(8.5/100)</f>
        <v>2.8031046700000002</v>
      </c>
      <c r="M577" s="237">
        <v>0</v>
      </c>
      <c r="N577" s="233">
        <f>(((1010)*1000)/1000000)</f>
        <v>1.01</v>
      </c>
      <c r="O577" s="233">
        <f t="shared" si="93"/>
        <v>2.9679931800000001</v>
      </c>
      <c r="P577" s="233">
        <f t="shared" si="83"/>
        <v>1.1970000000000001</v>
      </c>
      <c r="Q577" s="233">
        <f t="shared" si="84"/>
        <v>1.7709931800000001</v>
      </c>
      <c r="R577" s="217" t="s">
        <v>284</v>
      </c>
      <c r="S577" s="216" t="s">
        <v>1093</v>
      </c>
      <c r="T577" s="222" t="s">
        <v>282</v>
      </c>
      <c r="U577" s="222" t="s">
        <v>283</v>
      </c>
      <c r="V577" s="222"/>
    </row>
    <row r="578" spans="1:30" ht="86.45" customHeight="1" x14ac:dyDescent="0.75">
      <c r="A578" s="333"/>
      <c r="B578" s="353"/>
      <c r="C578" s="333"/>
      <c r="D578" s="354"/>
      <c r="E578" s="221"/>
      <c r="F578" s="216" t="s">
        <v>21</v>
      </c>
      <c r="G578" s="216">
        <v>7</v>
      </c>
      <c r="H578" s="233">
        <v>24.119692000000001</v>
      </c>
      <c r="I578" s="233">
        <f>+H578*0.01</f>
        <v>0.24119692000000001</v>
      </c>
      <c r="J578" s="233">
        <v>0</v>
      </c>
      <c r="K578" s="233">
        <v>0</v>
      </c>
      <c r="L578" s="233">
        <f>+H578*(10/100)</f>
        <v>2.4119692000000001</v>
      </c>
      <c r="M578" s="237">
        <v>0</v>
      </c>
      <c r="N578" s="233">
        <v>0</v>
      </c>
      <c r="O578" s="233">
        <f t="shared" si="93"/>
        <v>2.6531661200000003</v>
      </c>
      <c r="P578" s="233">
        <f t="shared" si="83"/>
        <v>0</v>
      </c>
      <c r="Q578" s="233">
        <f t="shared" si="84"/>
        <v>2.6531661200000003</v>
      </c>
      <c r="R578" s="217" t="s">
        <v>19</v>
      </c>
      <c r="S578" s="216" t="s">
        <v>489</v>
      </c>
      <c r="T578" s="222" t="s">
        <v>344</v>
      </c>
      <c r="U578" s="222"/>
      <c r="V578" s="222"/>
    </row>
    <row r="579" spans="1:30" ht="86.45" customHeight="1" x14ac:dyDescent="0.75">
      <c r="A579" s="333"/>
      <c r="B579" s="353"/>
      <c r="C579" s="333"/>
      <c r="D579" s="354"/>
      <c r="E579" s="221"/>
      <c r="F579" s="216" t="s">
        <v>22</v>
      </c>
      <c r="G579" s="216">
        <v>9</v>
      </c>
      <c r="H579" s="233">
        <f>52745976/1000000</f>
        <v>52.745975999999999</v>
      </c>
      <c r="I579" s="233">
        <f>+H579*0.02</f>
        <v>1.0549195199999999</v>
      </c>
      <c r="J579" s="233">
        <v>0</v>
      </c>
      <c r="K579" s="233">
        <v>0</v>
      </c>
      <c r="L579" s="233">
        <f>+H579*(10.5/100)</f>
        <v>5.5383274799999995</v>
      </c>
      <c r="M579" s="237">
        <v>0</v>
      </c>
      <c r="N579" s="233">
        <v>0</v>
      </c>
      <c r="O579" s="233">
        <f t="shared" si="93"/>
        <v>6.5932469999999999</v>
      </c>
      <c r="P579" s="233">
        <f t="shared" si="83"/>
        <v>0</v>
      </c>
      <c r="Q579" s="233">
        <f t="shared" si="84"/>
        <v>6.5932469999999999</v>
      </c>
      <c r="R579" s="216" t="s">
        <v>19</v>
      </c>
      <c r="S579" s="216" t="s">
        <v>137</v>
      </c>
      <c r="T579" s="222" t="s">
        <v>344</v>
      </c>
      <c r="U579" s="222"/>
      <c r="V579" s="222"/>
      <c r="W579" s="14"/>
      <c r="X579" s="14"/>
      <c r="Y579" s="14"/>
      <c r="Z579" s="14"/>
      <c r="AA579" s="14"/>
      <c r="AB579" s="14"/>
      <c r="AC579" s="14"/>
      <c r="AD579" s="14"/>
    </row>
    <row r="580" spans="1:30" ht="86.45" customHeight="1" x14ac:dyDescent="0.75">
      <c r="A580" s="216">
        <v>216</v>
      </c>
      <c r="B580" s="220" t="s">
        <v>863</v>
      </c>
      <c r="C580" s="216" t="s">
        <v>511</v>
      </c>
      <c r="D580" s="221" t="s">
        <v>726</v>
      </c>
      <c r="E580" s="221"/>
      <c r="F580" s="216" t="s">
        <v>20</v>
      </c>
      <c r="G580" s="216">
        <v>3</v>
      </c>
      <c r="H580" s="233">
        <v>8.64</v>
      </c>
      <c r="I580" s="233">
        <f>+H580*0.005</f>
        <v>4.3200000000000002E-2</v>
      </c>
      <c r="J580" s="233">
        <v>0</v>
      </c>
      <c r="K580" s="233">
        <v>0</v>
      </c>
      <c r="L580" s="233">
        <f>+H580*(8.5/100)</f>
        <v>0.73440000000000005</v>
      </c>
      <c r="M580" s="237">
        <v>0</v>
      </c>
      <c r="N580" s="233">
        <v>0</v>
      </c>
      <c r="O580" s="233">
        <f t="shared" si="93"/>
        <v>0.77760000000000007</v>
      </c>
      <c r="P580" s="233">
        <f t="shared" si="83"/>
        <v>0</v>
      </c>
      <c r="Q580" s="233">
        <f t="shared" si="84"/>
        <v>0.77760000000000007</v>
      </c>
      <c r="R580" s="217" t="s">
        <v>19</v>
      </c>
      <c r="S580" s="216" t="s">
        <v>449</v>
      </c>
      <c r="T580" s="222" t="s">
        <v>344</v>
      </c>
      <c r="U580" s="222"/>
      <c r="V580" s="222"/>
    </row>
    <row r="581" spans="1:30" ht="86.45" customHeight="1" x14ac:dyDescent="0.75">
      <c r="A581" s="216">
        <v>217</v>
      </c>
      <c r="B581" s="220" t="s">
        <v>864</v>
      </c>
      <c r="C581" s="216" t="s">
        <v>511</v>
      </c>
      <c r="D581" s="221">
        <v>186849005550</v>
      </c>
      <c r="E581" s="221"/>
      <c r="F581" s="216" t="s">
        <v>20</v>
      </c>
      <c r="G581" s="216">
        <v>1.7</v>
      </c>
      <c r="H581" s="233">
        <v>5.5584699999999998</v>
      </c>
      <c r="I581" s="233">
        <f>+H581*0.005</f>
        <v>2.779235E-2</v>
      </c>
      <c r="J581" s="233">
        <v>0</v>
      </c>
      <c r="K581" s="233">
        <v>0</v>
      </c>
      <c r="L581" s="233">
        <f>+H581*(8.5/100)</f>
        <v>0.47246995000000003</v>
      </c>
      <c r="M581" s="237">
        <v>0</v>
      </c>
      <c r="N581" s="233">
        <v>0</v>
      </c>
      <c r="O581" s="233">
        <f t="shared" si="93"/>
        <v>0.50026230000000005</v>
      </c>
      <c r="P581" s="233">
        <f t="shared" si="83"/>
        <v>0</v>
      </c>
      <c r="Q581" s="233">
        <f t="shared" si="84"/>
        <v>0.50026230000000005</v>
      </c>
      <c r="R581" s="217" t="s">
        <v>19</v>
      </c>
      <c r="S581" s="216" t="s">
        <v>449</v>
      </c>
      <c r="T581" s="222" t="s">
        <v>344</v>
      </c>
      <c r="U581" s="222"/>
      <c r="V581" s="222"/>
    </row>
    <row r="582" spans="1:30" ht="86.45" customHeight="1" x14ac:dyDescent="0.75">
      <c r="A582" s="333">
        <v>218</v>
      </c>
      <c r="B582" s="353" t="s">
        <v>865</v>
      </c>
      <c r="C582" s="333" t="s">
        <v>511</v>
      </c>
      <c r="D582" s="354">
        <v>420819006880</v>
      </c>
      <c r="E582" s="221"/>
      <c r="F582" s="216" t="s">
        <v>20</v>
      </c>
      <c r="G582" s="216">
        <v>5.2</v>
      </c>
      <c r="H582" s="233">
        <v>33.406799999999997</v>
      </c>
      <c r="I582" s="233">
        <f>+H582*0.005</f>
        <v>0.16703399999999999</v>
      </c>
      <c r="J582" s="233">
        <v>0</v>
      </c>
      <c r="K582" s="233">
        <v>0</v>
      </c>
      <c r="L582" s="233">
        <f>+H582*(8.5/100)</f>
        <v>2.8395779999999999</v>
      </c>
      <c r="M582" s="237">
        <v>0</v>
      </c>
      <c r="N582" s="233">
        <v>0</v>
      </c>
      <c r="O582" s="233">
        <f t="shared" si="93"/>
        <v>3.0066120000000001</v>
      </c>
      <c r="P582" s="233">
        <f t="shared" ref="P582:P586" si="96">+((J582+K582)+(M582+N582))</f>
        <v>0</v>
      </c>
      <c r="Q582" s="233">
        <f t="shared" ref="Q582:Q668" si="97">+O582-P582</f>
        <v>3.0066120000000001</v>
      </c>
      <c r="R582" s="217" t="s">
        <v>19</v>
      </c>
      <c r="S582" s="216" t="s">
        <v>447</v>
      </c>
      <c r="T582" s="222" t="s">
        <v>344</v>
      </c>
      <c r="U582" s="222"/>
      <c r="V582" s="222"/>
    </row>
    <row r="583" spans="1:30" ht="86.45" customHeight="1" x14ac:dyDescent="0.75">
      <c r="A583" s="333"/>
      <c r="B583" s="353"/>
      <c r="C583" s="333"/>
      <c r="D583" s="354"/>
      <c r="E583" s="221"/>
      <c r="F583" s="216" t="s">
        <v>21</v>
      </c>
      <c r="G583" s="216">
        <v>5.3</v>
      </c>
      <c r="H583" s="233">
        <v>25.231573999999998</v>
      </c>
      <c r="I583" s="233">
        <f>+H583*0.01</f>
        <v>0.25231574000000001</v>
      </c>
      <c r="J583" s="233">
        <v>0</v>
      </c>
      <c r="K583" s="233">
        <v>0</v>
      </c>
      <c r="L583" s="233">
        <f>+H583*(10/100)</f>
        <v>2.5231574000000001</v>
      </c>
      <c r="M583" s="237">
        <v>0</v>
      </c>
      <c r="N583" s="233">
        <v>0</v>
      </c>
      <c r="O583" s="233">
        <f t="shared" si="93"/>
        <v>2.7754731399999999</v>
      </c>
      <c r="P583" s="233">
        <f t="shared" si="96"/>
        <v>0</v>
      </c>
      <c r="Q583" s="233">
        <f t="shared" si="97"/>
        <v>2.7754731399999999</v>
      </c>
      <c r="R583" s="217" t="s">
        <v>19</v>
      </c>
      <c r="S583" s="216" t="s">
        <v>490</v>
      </c>
      <c r="T583" s="222" t="s">
        <v>344</v>
      </c>
      <c r="U583" s="222"/>
      <c r="V583" s="222"/>
    </row>
    <row r="584" spans="1:30" ht="86.45" customHeight="1" x14ac:dyDescent="0.75">
      <c r="A584" s="216">
        <v>219</v>
      </c>
      <c r="B584" s="220" t="s">
        <v>866</v>
      </c>
      <c r="C584" s="216" t="s">
        <v>511</v>
      </c>
      <c r="D584" s="221">
        <v>186849041700</v>
      </c>
      <c r="E584" s="221"/>
      <c r="F584" s="216" t="s">
        <v>20</v>
      </c>
      <c r="G584" s="216">
        <v>3</v>
      </c>
      <c r="H584" s="233">
        <v>17.387499999999999</v>
      </c>
      <c r="I584" s="233">
        <f>+H584*0.005</f>
        <v>8.6937500000000001E-2</v>
      </c>
      <c r="J584" s="233">
        <v>0</v>
      </c>
      <c r="K584" s="233">
        <v>0</v>
      </c>
      <c r="L584" s="233">
        <f>+H584*(8.5/100)</f>
        <v>1.4779375000000001</v>
      </c>
      <c r="M584" s="237">
        <v>0</v>
      </c>
      <c r="N584" s="233">
        <v>0</v>
      </c>
      <c r="O584" s="233">
        <f t="shared" si="93"/>
        <v>1.5648750000000002</v>
      </c>
      <c r="P584" s="233">
        <f t="shared" si="96"/>
        <v>0</v>
      </c>
      <c r="Q584" s="233">
        <f t="shared" si="97"/>
        <v>1.5648750000000002</v>
      </c>
      <c r="R584" s="217" t="s">
        <v>19</v>
      </c>
      <c r="S584" s="216" t="s">
        <v>449</v>
      </c>
      <c r="T584" s="222" t="s">
        <v>344</v>
      </c>
      <c r="U584" s="222"/>
      <c r="V584" s="222"/>
    </row>
    <row r="585" spans="1:30" ht="86.45" customHeight="1" x14ac:dyDescent="0.75">
      <c r="A585" s="324">
        <v>220</v>
      </c>
      <c r="B585" s="324" t="s">
        <v>867</v>
      </c>
      <c r="C585" s="330" t="s">
        <v>511</v>
      </c>
      <c r="D585" s="347">
        <v>450019000856</v>
      </c>
      <c r="E585" s="354" t="s">
        <v>1298</v>
      </c>
      <c r="F585" s="216" t="s">
        <v>20</v>
      </c>
      <c r="G585" s="216">
        <v>20.8</v>
      </c>
      <c r="H585" s="233">
        <v>66.694017000000002</v>
      </c>
      <c r="I585" s="233">
        <f>+H585*0.005</f>
        <v>0.33347008500000003</v>
      </c>
      <c r="J585" s="233">
        <v>0</v>
      </c>
      <c r="K585" s="233">
        <f>(311*1000/1000000)</f>
        <v>0.311</v>
      </c>
      <c r="L585" s="233">
        <f>+H585*(8.5/100)</f>
        <v>5.6689914450000005</v>
      </c>
      <c r="M585" s="237">
        <v>0</v>
      </c>
      <c r="N585" s="233">
        <f>(5289*1000/1000000)</f>
        <v>5.2889999999999997</v>
      </c>
      <c r="O585" s="233">
        <f t="shared" si="93"/>
        <v>6.0024615300000006</v>
      </c>
      <c r="P585" s="233">
        <f t="shared" si="96"/>
        <v>5.6</v>
      </c>
      <c r="Q585" s="233">
        <f t="shared" si="97"/>
        <v>0.40246153000000096</v>
      </c>
      <c r="R585" s="217" t="s">
        <v>284</v>
      </c>
      <c r="S585" s="216" t="s">
        <v>1094</v>
      </c>
      <c r="T585" s="222" t="s">
        <v>282</v>
      </c>
      <c r="U585" s="222" t="s">
        <v>283</v>
      </c>
      <c r="V585" s="222"/>
    </row>
    <row r="586" spans="1:30" ht="86.45" customHeight="1" x14ac:dyDescent="0.75">
      <c r="A586" s="325"/>
      <c r="B586" s="325"/>
      <c r="C586" s="331"/>
      <c r="D586" s="349"/>
      <c r="E586" s="354"/>
      <c r="F586" s="216" t="s">
        <v>21</v>
      </c>
      <c r="G586" s="216">
        <v>20.89</v>
      </c>
      <c r="H586" s="233">
        <v>185.66873899999999</v>
      </c>
      <c r="I586" s="233">
        <f>+H586*0.01</f>
        <v>1.8566873899999998</v>
      </c>
      <c r="J586" s="233">
        <v>0</v>
      </c>
      <c r="K586" s="233">
        <f>((1695)*1000/1000000)</f>
        <v>1.6950000000000001</v>
      </c>
      <c r="L586" s="233">
        <f>+H586*(10/100)</f>
        <v>18.566873900000001</v>
      </c>
      <c r="M586" s="237">
        <v>0</v>
      </c>
      <c r="N586" s="233">
        <f>((16955)*1000/1000000)</f>
        <v>16.954999999999998</v>
      </c>
      <c r="O586" s="233">
        <f t="shared" si="93"/>
        <v>20.423561290000002</v>
      </c>
      <c r="P586" s="233">
        <f t="shared" si="96"/>
        <v>18.649999999999999</v>
      </c>
      <c r="Q586" s="233">
        <f t="shared" si="97"/>
        <v>1.7735612900000035</v>
      </c>
      <c r="R586" s="217" t="s">
        <v>284</v>
      </c>
      <c r="S586" s="216" t="s">
        <v>1095</v>
      </c>
      <c r="T586" s="222" t="s">
        <v>282</v>
      </c>
      <c r="U586" s="222" t="s">
        <v>283</v>
      </c>
      <c r="V586" s="222"/>
    </row>
    <row r="587" spans="1:30" ht="86.45" customHeight="1" x14ac:dyDescent="0.75">
      <c r="A587" s="325"/>
      <c r="B587" s="325"/>
      <c r="C587" s="331"/>
      <c r="D587" s="349"/>
      <c r="E587" s="354"/>
      <c r="F587" s="216" t="s">
        <v>22</v>
      </c>
      <c r="G587" s="216">
        <v>20.89</v>
      </c>
      <c r="H587" s="233">
        <f>31269559/1000000</f>
        <v>31.269559000000001</v>
      </c>
      <c r="I587" s="233">
        <f>+H587*0.02</f>
        <v>0.62539118000000005</v>
      </c>
      <c r="J587" s="233">
        <v>0</v>
      </c>
      <c r="K587" s="233">
        <f>(579*1000)/1000000</f>
        <v>0.57899999999999996</v>
      </c>
      <c r="L587" s="233">
        <f>+H587*(10.5/100)</f>
        <v>3.2833036949999999</v>
      </c>
      <c r="M587" s="237">
        <v>0</v>
      </c>
      <c r="N587" s="233">
        <f>((243+2795)*1000)/1000000</f>
        <v>3.0379999999999998</v>
      </c>
      <c r="O587" s="233">
        <f t="shared" si="93"/>
        <v>3.9086948750000001</v>
      </c>
      <c r="P587" s="233">
        <f>J587+K587+M587+N587</f>
        <v>3.617</v>
      </c>
      <c r="Q587" s="233">
        <f t="shared" si="97"/>
        <v>0.29169487500000013</v>
      </c>
      <c r="R587" s="216" t="s">
        <v>292</v>
      </c>
      <c r="S587" s="217" t="s">
        <v>138</v>
      </c>
      <c r="T587" s="222" t="s">
        <v>282</v>
      </c>
      <c r="U587" s="222" t="s">
        <v>283</v>
      </c>
      <c r="V587" s="222"/>
      <c r="W587" s="14"/>
      <c r="X587" s="14"/>
      <c r="Y587" s="14"/>
      <c r="Z587" s="14"/>
      <c r="AA587" s="14"/>
      <c r="AB587" s="14"/>
      <c r="AC587" s="14"/>
      <c r="AD587" s="14"/>
    </row>
    <row r="588" spans="1:30" ht="86.45" customHeight="1" x14ac:dyDescent="0.75">
      <c r="A588" s="325"/>
      <c r="B588" s="325"/>
      <c r="C588" s="331"/>
      <c r="D588" s="349"/>
      <c r="E588" s="364" t="s">
        <v>1341</v>
      </c>
      <c r="F588" s="254" t="s">
        <v>20</v>
      </c>
      <c r="G588" s="254">
        <v>20.89</v>
      </c>
      <c r="H588" s="255">
        <v>63.481999999999999</v>
      </c>
      <c r="I588" s="255">
        <v>0.317</v>
      </c>
      <c r="J588" s="255">
        <v>0</v>
      </c>
      <c r="K588" s="255">
        <v>0.311</v>
      </c>
      <c r="L588" s="255">
        <v>5.3959999999999999</v>
      </c>
      <c r="M588" s="256">
        <v>0</v>
      </c>
      <c r="N588" s="255">
        <v>5.2889999999999997</v>
      </c>
      <c r="O588" s="255">
        <v>5.7130000000000001</v>
      </c>
      <c r="P588" s="255">
        <v>5.6</v>
      </c>
      <c r="Q588" s="255">
        <f t="shared" si="97"/>
        <v>0.11300000000000043</v>
      </c>
      <c r="R588" s="254"/>
      <c r="S588" s="258"/>
      <c r="T588" s="222"/>
      <c r="U588" s="222"/>
      <c r="V588" s="222"/>
      <c r="W588" s="14"/>
      <c r="X588" s="14"/>
      <c r="Y588" s="14"/>
      <c r="Z588" s="14"/>
      <c r="AA588" s="14"/>
      <c r="AB588" s="14"/>
      <c r="AC588" s="14"/>
      <c r="AD588" s="14"/>
    </row>
    <row r="589" spans="1:30" ht="86.45" customHeight="1" x14ac:dyDescent="0.75">
      <c r="A589" s="325"/>
      <c r="B589" s="325"/>
      <c r="C589" s="331"/>
      <c r="D589" s="349"/>
      <c r="E589" s="364"/>
      <c r="F589" s="254" t="s">
        <v>21</v>
      </c>
      <c r="G589" s="254">
        <v>20.89</v>
      </c>
      <c r="H589" s="255">
        <v>169.559</v>
      </c>
      <c r="I589" s="255">
        <v>1.6950000000000001</v>
      </c>
      <c r="J589" s="255">
        <v>0</v>
      </c>
      <c r="K589" s="255">
        <v>1.6950000000000001</v>
      </c>
      <c r="L589" s="255">
        <v>16.954999999999998</v>
      </c>
      <c r="M589" s="256">
        <v>0</v>
      </c>
      <c r="N589" s="255">
        <v>16.954999999999998</v>
      </c>
      <c r="O589" s="255">
        <v>18.649999999999999</v>
      </c>
      <c r="P589" s="255">
        <v>18.649999999999999</v>
      </c>
      <c r="Q589" s="255">
        <f t="shared" si="97"/>
        <v>0</v>
      </c>
      <c r="R589" s="254"/>
      <c r="S589" s="258"/>
      <c r="T589" s="222"/>
      <c r="U589" s="222"/>
      <c r="V589" s="222"/>
      <c r="W589" s="14"/>
      <c r="X589" s="14"/>
      <c r="Y589" s="14"/>
      <c r="Z589" s="14"/>
      <c r="AA589" s="14"/>
      <c r="AB589" s="14"/>
      <c r="AC589" s="14"/>
      <c r="AD589" s="14"/>
    </row>
    <row r="590" spans="1:30" ht="86.45" customHeight="1" x14ac:dyDescent="0.75">
      <c r="A590" s="326"/>
      <c r="B590" s="326"/>
      <c r="C590" s="332"/>
      <c r="D590" s="348"/>
      <c r="E590" s="364"/>
      <c r="F590" s="254" t="s">
        <v>22</v>
      </c>
      <c r="G590" s="254">
        <v>20.89</v>
      </c>
      <c r="H590" s="255">
        <v>28.933</v>
      </c>
      <c r="I590" s="255">
        <v>0.57899999999999996</v>
      </c>
      <c r="J590" s="255">
        <v>0</v>
      </c>
      <c r="K590" s="255">
        <v>0.57899999999999996</v>
      </c>
      <c r="L590" s="255">
        <v>3.0379999999999998</v>
      </c>
      <c r="M590" s="256">
        <v>0</v>
      </c>
      <c r="N590" s="255">
        <v>3.0379999999999998</v>
      </c>
      <c r="O590" s="255">
        <v>3.617</v>
      </c>
      <c r="P590" s="255">
        <v>3.617</v>
      </c>
      <c r="Q590" s="255">
        <f t="shared" si="97"/>
        <v>0</v>
      </c>
      <c r="R590" s="254"/>
      <c r="S590" s="258"/>
      <c r="T590" s="222"/>
      <c r="U590" s="222"/>
      <c r="V590" s="222"/>
      <c r="W590" s="14"/>
      <c r="X590" s="14"/>
      <c r="Y590" s="14"/>
      <c r="Z590" s="14"/>
      <c r="AA590" s="14"/>
      <c r="AB590" s="14"/>
      <c r="AC590" s="14"/>
      <c r="AD590" s="14"/>
    </row>
    <row r="591" spans="1:30" ht="86.45" customHeight="1" x14ac:dyDescent="0.75">
      <c r="A591" s="333">
        <v>221</v>
      </c>
      <c r="B591" s="353" t="s">
        <v>904</v>
      </c>
      <c r="C591" s="333" t="s">
        <v>511</v>
      </c>
      <c r="D591" s="354">
        <v>490019007470</v>
      </c>
      <c r="E591" s="221"/>
      <c r="F591" s="216" t="s">
        <v>18</v>
      </c>
      <c r="G591" s="216">
        <v>3</v>
      </c>
      <c r="H591" s="233">
        <v>108.95836</v>
      </c>
      <c r="I591" s="233">
        <f>+H591*0.005</f>
        <v>0.54479180000000005</v>
      </c>
      <c r="J591" s="233">
        <v>0</v>
      </c>
      <c r="K591" s="233">
        <v>0</v>
      </c>
      <c r="L591" s="233">
        <f>+H591*(8.5/100)</f>
        <v>9.2614606000000013</v>
      </c>
      <c r="M591" s="237">
        <v>0</v>
      </c>
      <c r="N591" s="233">
        <v>0</v>
      </c>
      <c r="O591" s="233">
        <f t="shared" si="93"/>
        <v>9.8062524000000018</v>
      </c>
      <c r="P591" s="233">
        <f t="shared" ref="P591:P651" si="98">+((J591+K591)+(M591+N591))</f>
        <v>0</v>
      </c>
      <c r="Q591" s="233">
        <f t="shared" si="97"/>
        <v>9.8062524000000018</v>
      </c>
      <c r="R591" s="217" t="s">
        <v>19</v>
      </c>
      <c r="S591" s="216" t="s">
        <v>346</v>
      </c>
      <c r="T591" s="222" t="s">
        <v>344</v>
      </c>
      <c r="U591" s="222"/>
      <c r="V591" s="222"/>
    </row>
    <row r="592" spans="1:30" s="14" customFormat="1" ht="86.45" customHeight="1" x14ac:dyDescent="0.75">
      <c r="A592" s="333"/>
      <c r="B592" s="353"/>
      <c r="C592" s="333"/>
      <c r="D592" s="354"/>
      <c r="E592" s="221"/>
      <c r="F592" s="216" t="s">
        <v>20</v>
      </c>
      <c r="G592" s="216">
        <v>14</v>
      </c>
      <c r="H592" s="233">
        <v>108.131632</v>
      </c>
      <c r="I592" s="233">
        <f>+H592*0.005</f>
        <v>0.54065816</v>
      </c>
      <c r="J592" s="233">
        <v>0</v>
      </c>
      <c r="K592" s="233">
        <f>((473)*1000)/1000000</f>
        <v>0.47299999999999998</v>
      </c>
      <c r="L592" s="233">
        <f>+H592*(8.5/100)</f>
        <v>9.1911887199999995</v>
      </c>
      <c r="M592" s="237">
        <v>0</v>
      </c>
      <c r="N592" s="233">
        <f>((8044)*1000)/1000000</f>
        <v>8.0440000000000005</v>
      </c>
      <c r="O592" s="233">
        <f>+I592+L592</f>
        <v>9.7318468799999991</v>
      </c>
      <c r="P592" s="233">
        <f>+((J592+K592)+(M592+N592))</f>
        <v>8.5170000000000012</v>
      </c>
      <c r="Q592" s="233">
        <f>+O592-P592</f>
        <v>1.2148468799999979</v>
      </c>
      <c r="R592" s="217" t="s">
        <v>284</v>
      </c>
      <c r="S592" s="216" t="s">
        <v>1060</v>
      </c>
      <c r="T592" s="222" t="s">
        <v>282</v>
      </c>
      <c r="U592" s="222" t="s">
        <v>283</v>
      </c>
      <c r="V592" s="222"/>
      <c r="W592" s="15"/>
      <c r="X592" s="15"/>
      <c r="Y592" s="15"/>
      <c r="Z592" s="15"/>
      <c r="AA592" s="15"/>
      <c r="AB592" s="15"/>
      <c r="AC592" s="15"/>
      <c r="AD592" s="15"/>
    </row>
    <row r="593" spans="1:30" s="14" customFormat="1" ht="86.45" customHeight="1" x14ac:dyDescent="0.7">
      <c r="A593" s="333"/>
      <c r="B593" s="353"/>
      <c r="C593" s="333"/>
      <c r="D593" s="354"/>
      <c r="E593" s="221"/>
      <c r="F593" s="216" t="s">
        <v>21</v>
      </c>
      <c r="G593" s="216">
        <v>15.8</v>
      </c>
      <c r="H593" s="233">
        <v>76.436261000000002</v>
      </c>
      <c r="I593" s="233">
        <f>+H593*0.01</f>
        <v>0.76436261000000005</v>
      </c>
      <c r="J593" s="233">
        <v>0</v>
      </c>
      <c r="K593" s="233">
        <v>0</v>
      </c>
      <c r="L593" s="233">
        <f>+H593*(10/100)</f>
        <v>7.6436261000000005</v>
      </c>
      <c r="M593" s="237">
        <v>0</v>
      </c>
      <c r="N593" s="233">
        <v>0</v>
      </c>
      <c r="O593" s="233">
        <f t="shared" si="93"/>
        <v>8.4079887100000015</v>
      </c>
      <c r="P593" s="233">
        <f t="shared" si="98"/>
        <v>0</v>
      </c>
      <c r="Q593" s="233">
        <f t="shared" si="97"/>
        <v>8.4079887100000015</v>
      </c>
      <c r="R593" s="217" t="s">
        <v>19</v>
      </c>
      <c r="S593" s="216" t="s">
        <v>490</v>
      </c>
      <c r="T593" s="222" t="s">
        <v>344</v>
      </c>
      <c r="U593" s="222"/>
      <c r="V593" s="222"/>
    </row>
    <row r="594" spans="1:30" s="14" customFormat="1" ht="86.45" customHeight="1" x14ac:dyDescent="0.75">
      <c r="A594" s="333">
        <v>222</v>
      </c>
      <c r="B594" s="385" t="s">
        <v>868</v>
      </c>
      <c r="C594" s="387" t="s">
        <v>511</v>
      </c>
      <c r="D594" s="386">
        <v>490539042670</v>
      </c>
      <c r="E594" s="231"/>
      <c r="F594" s="230" t="s">
        <v>18</v>
      </c>
      <c r="G594" s="230">
        <v>3</v>
      </c>
      <c r="H594" s="236">
        <v>13.275347999999999</v>
      </c>
      <c r="I594" s="233">
        <f t="shared" ref="I594:I600" si="99">+H594*0.005</f>
        <v>6.6376740000000004E-2</v>
      </c>
      <c r="J594" s="233">
        <v>0</v>
      </c>
      <c r="K594" s="233">
        <v>0</v>
      </c>
      <c r="L594" s="233">
        <f t="shared" ref="L594:L600" si="100">+H594*(8.5/100)</f>
        <v>1.12840458</v>
      </c>
      <c r="M594" s="237">
        <v>0</v>
      </c>
      <c r="N594" s="233">
        <v>0</v>
      </c>
      <c r="O594" s="233">
        <f>+I594+L594</f>
        <v>1.1947813199999999</v>
      </c>
      <c r="P594" s="233">
        <f>+((J594+K594)+(M594+N594))</f>
        <v>0</v>
      </c>
      <c r="Q594" s="233">
        <f>+O594-P594</f>
        <v>1.1947813199999999</v>
      </c>
      <c r="R594" s="217" t="s">
        <v>284</v>
      </c>
      <c r="S594" s="216" t="s">
        <v>1096</v>
      </c>
      <c r="T594" s="222" t="s">
        <v>282</v>
      </c>
      <c r="U594" s="222" t="s">
        <v>283</v>
      </c>
      <c r="V594" s="222"/>
      <c r="W594" s="15"/>
      <c r="X594" s="15"/>
      <c r="Y594" s="15"/>
      <c r="Z594" s="15"/>
      <c r="AA594" s="15"/>
      <c r="AB594" s="15"/>
      <c r="AC594" s="15"/>
      <c r="AD594" s="15"/>
    </row>
    <row r="595" spans="1:30" ht="86.45" customHeight="1" x14ac:dyDescent="0.75">
      <c r="A595" s="333"/>
      <c r="B595" s="385"/>
      <c r="C595" s="387"/>
      <c r="D595" s="386"/>
      <c r="E595" s="231"/>
      <c r="F595" s="230" t="s">
        <v>20</v>
      </c>
      <c r="G595" s="230">
        <v>3</v>
      </c>
      <c r="H595" s="236">
        <f>15767828
/1000000</f>
        <v>15.767828</v>
      </c>
      <c r="I595" s="233">
        <f t="shared" si="99"/>
        <v>7.8839140000000002E-2</v>
      </c>
      <c r="J595" s="233">
        <v>0</v>
      </c>
      <c r="K595" s="233">
        <v>0</v>
      </c>
      <c r="L595" s="233">
        <f t="shared" si="100"/>
        <v>1.3402653800000002</v>
      </c>
      <c r="M595" s="237">
        <v>0</v>
      </c>
      <c r="N595" s="233">
        <v>0</v>
      </c>
      <c r="O595" s="233">
        <f>+I595+L595</f>
        <v>1.4191045200000001</v>
      </c>
      <c r="P595" s="233">
        <f>+((J595+K595)+(M595+N595))</f>
        <v>0</v>
      </c>
      <c r="Q595" s="235">
        <f>+O595-P595</f>
        <v>1.4191045200000001</v>
      </c>
      <c r="R595" s="227" t="s">
        <v>284</v>
      </c>
      <c r="S595" s="224" t="s">
        <v>29</v>
      </c>
      <c r="T595" s="228" t="s">
        <v>344</v>
      </c>
      <c r="U595" s="228"/>
      <c r="V595" s="222"/>
    </row>
    <row r="596" spans="1:30" s="14" customFormat="1" ht="86.45" customHeight="1" x14ac:dyDescent="0.75">
      <c r="A596" s="333">
        <v>223</v>
      </c>
      <c r="B596" s="353" t="s">
        <v>869</v>
      </c>
      <c r="C596" s="333" t="s">
        <v>511</v>
      </c>
      <c r="D596" s="354">
        <v>36249005112</v>
      </c>
      <c r="E596" s="221"/>
      <c r="F596" s="216" t="s">
        <v>18</v>
      </c>
      <c r="G596" s="216">
        <v>9.5</v>
      </c>
      <c r="H596" s="233">
        <v>27.354816</v>
      </c>
      <c r="I596" s="233">
        <f t="shared" si="99"/>
        <v>0.13677407999999999</v>
      </c>
      <c r="J596" s="233">
        <v>0</v>
      </c>
      <c r="K596" s="233">
        <v>0.11700000000000001</v>
      </c>
      <c r="L596" s="233">
        <f t="shared" si="100"/>
        <v>2.3251593600000002</v>
      </c>
      <c r="M596" s="237">
        <v>0</v>
      </c>
      <c r="N596" s="233">
        <v>1.9850000000000001</v>
      </c>
      <c r="O596" s="233">
        <f>+I596+L596</f>
        <v>2.4619334400000001</v>
      </c>
      <c r="P596" s="233">
        <f>+((J596+K596)+(M596+N596))</f>
        <v>2.1020000000000003</v>
      </c>
      <c r="Q596" s="233">
        <f>+O596-P596</f>
        <v>0.35993343999999983</v>
      </c>
      <c r="R596" s="217" t="s">
        <v>284</v>
      </c>
      <c r="S596" s="216" t="s">
        <v>1097</v>
      </c>
      <c r="T596" s="222" t="s">
        <v>282</v>
      </c>
      <c r="U596" s="222" t="s">
        <v>283</v>
      </c>
      <c r="V596" s="222"/>
      <c r="W596" s="15"/>
      <c r="X596" s="15"/>
      <c r="Y596" s="15"/>
      <c r="Z596" s="15"/>
      <c r="AA596" s="15"/>
      <c r="AB596" s="15"/>
      <c r="AC596" s="15"/>
      <c r="AD596" s="15"/>
    </row>
    <row r="597" spans="1:30" s="14" customFormat="1" ht="86.45" customHeight="1" x14ac:dyDescent="0.75">
      <c r="A597" s="333"/>
      <c r="B597" s="353"/>
      <c r="C597" s="333"/>
      <c r="D597" s="354"/>
      <c r="E597" s="221"/>
      <c r="F597" s="216" t="s">
        <v>20</v>
      </c>
      <c r="G597" s="216">
        <v>3.5</v>
      </c>
      <c r="H597" s="233">
        <v>35.293937</v>
      </c>
      <c r="I597" s="233">
        <f t="shared" si="99"/>
        <v>0.17646968500000002</v>
      </c>
      <c r="J597" s="233">
        <v>0</v>
      </c>
      <c r="K597" s="233">
        <f>(60)*1000/1000000</f>
        <v>0.06</v>
      </c>
      <c r="L597" s="233">
        <f t="shared" si="100"/>
        <v>2.9999846450000001</v>
      </c>
      <c r="M597" s="237">
        <v>0</v>
      </c>
      <c r="N597" s="233">
        <f>(3000)*1000/1000000</f>
        <v>3</v>
      </c>
      <c r="O597" s="233">
        <f t="shared" si="93"/>
        <v>3.1764543299999999</v>
      </c>
      <c r="P597" s="233">
        <f t="shared" si="98"/>
        <v>3.06</v>
      </c>
      <c r="Q597" s="233">
        <f t="shared" si="97"/>
        <v>0.11645432999999983</v>
      </c>
      <c r="R597" s="217" t="s">
        <v>284</v>
      </c>
      <c r="S597" s="216" t="s">
        <v>953</v>
      </c>
      <c r="T597" s="222" t="s">
        <v>282</v>
      </c>
      <c r="U597" s="222" t="s">
        <v>283</v>
      </c>
      <c r="V597" s="222"/>
      <c r="W597" s="15"/>
      <c r="X597" s="15"/>
      <c r="Y597" s="15"/>
      <c r="Z597" s="15"/>
      <c r="AA597" s="15"/>
      <c r="AB597" s="15"/>
      <c r="AC597" s="15"/>
      <c r="AD597" s="15"/>
    </row>
    <row r="598" spans="1:30" s="14" customFormat="1" ht="86.45" customHeight="1" x14ac:dyDescent="0.75">
      <c r="A598" s="333">
        <v>224</v>
      </c>
      <c r="B598" s="353" t="s">
        <v>870</v>
      </c>
      <c r="C598" s="333" t="s">
        <v>511</v>
      </c>
      <c r="D598" s="354">
        <v>41019018456</v>
      </c>
      <c r="E598" s="221"/>
      <c r="F598" s="216" t="s">
        <v>18</v>
      </c>
      <c r="G598" s="216">
        <v>3</v>
      </c>
      <c r="H598" s="233">
        <v>9.7497539999999994</v>
      </c>
      <c r="I598" s="233">
        <f t="shared" si="99"/>
        <v>4.8748769999999997E-2</v>
      </c>
      <c r="J598" s="233">
        <v>0</v>
      </c>
      <c r="K598" s="233">
        <v>4.2000000000000003E-2</v>
      </c>
      <c r="L598" s="233">
        <f t="shared" si="100"/>
        <v>0.82872909000000006</v>
      </c>
      <c r="M598" s="237">
        <v>0</v>
      </c>
      <c r="N598" s="233">
        <v>0.71099999999999997</v>
      </c>
      <c r="O598" s="233">
        <f>+I598+L598</f>
        <v>0.87747786000000005</v>
      </c>
      <c r="P598" s="233">
        <f>+((J598+K598)+(M598+N598))</f>
        <v>0.753</v>
      </c>
      <c r="Q598" s="233">
        <f>+O598-P598</f>
        <v>0.12447786000000005</v>
      </c>
      <c r="R598" s="217" t="s">
        <v>284</v>
      </c>
      <c r="S598" s="216" t="s">
        <v>1097</v>
      </c>
      <c r="T598" s="222" t="s">
        <v>282</v>
      </c>
      <c r="U598" s="222" t="s">
        <v>283</v>
      </c>
      <c r="V598" s="222"/>
      <c r="W598" s="15"/>
      <c r="X598" s="15"/>
      <c r="Y598" s="15"/>
      <c r="Z598" s="15"/>
      <c r="AA598" s="15"/>
      <c r="AB598" s="15"/>
      <c r="AC598" s="15"/>
      <c r="AD598" s="15"/>
    </row>
    <row r="599" spans="1:30" s="14" customFormat="1" ht="86.45" customHeight="1" x14ac:dyDescent="0.75">
      <c r="A599" s="333"/>
      <c r="B599" s="353"/>
      <c r="C599" s="333"/>
      <c r="D599" s="354"/>
      <c r="E599" s="221"/>
      <c r="F599" s="216" t="s">
        <v>20</v>
      </c>
      <c r="G599" s="216">
        <v>1.5</v>
      </c>
      <c r="H599" s="233">
        <v>15.11256</v>
      </c>
      <c r="I599" s="233">
        <f t="shared" si="99"/>
        <v>7.5562799999999999E-2</v>
      </c>
      <c r="J599" s="233">
        <v>0</v>
      </c>
      <c r="K599" s="233">
        <f>(76)*1000/1000000</f>
        <v>7.5999999999999998E-2</v>
      </c>
      <c r="L599" s="233">
        <f t="shared" si="100"/>
        <v>1.2845676000000001</v>
      </c>
      <c r="M599" s="237">
        <v>0</v>
      </c>
      <c r="N599" s="233">
        <f>(1285)*1000/1000000</f>
        <v>1.2849999999999999</v>
      </c>
      <c r="O599" s="233">
        <f t="shared" si="93"/>
        <v>1.3601304000000001</v>
      </c>
      <c r="P599" s="233">
        <f t="shared" si="98"/>
        <v>1.361</v>
      </c>
      <c r="Q599" s="233">
        <f t="shared" si="97"/>
        <v>-8.6959999999991489E-4</v>
      </c>
      <c r="R599" s="217" t="s">
        <v>292</v>
      </c>
      <c r="S599" s="216" t="s">
        <v>953</v>
      </c>
      <c r="T599" s="222" t="s">
        <v>282</v>
      </c>
      <c r="U599" s="222" t="s">
        <v>310</v>
      </c>
      <c r="V599" s="222"/>
      <c r="W599" s="15"/>
      <c r="X599" s="15"/>
      <c r="Y599" s="15"/>
      <c r="Z599" s="15"/>
      <c r="AA599" s="15"/>
      <c r="AB599" s="15"/>
      <c r="AC599" s="15"/>
      <c r="AD599" s="15"/>
    </row>
    <row r="600" spans="1:30" s="14" customFormat="1" ht="86.45" customHeight="1" x14ac:dyDescent="0.75">
      <c r="A600" s="216">
        <v>225</v>
      </c>
      <c r="B600" s="220" t="s">
        <v>871</v>
      </c>
      <c r="C600" s="216" t="s">
        <v>511</v>
      </c>
      <c r="D600" s="221">
        <v>1620190000117</v>
      </c>
      <c r="E600" s="221"/>
      <c r="F600" s="216" t="s">
        <v>20</v>
      </c>
      <c r="G600" s="216">
        <v>4.5</v>
      </c>
      <c r="H600" s="233">
        <v>2.0549279999999999</v>
      </c>
      <c r="I600" s="233">
        <f t="shared" si="99"/>
        <v>1.027464E-2</v>
      </c>
      <c r="J600" s="233">
        <v>0</v>
      </c>
      <c r="K600" s="233">
        <f>(9)*1000/1000000</f>
        <v>8.9999999999999993E-3</v>
      </c>
      <c r="L600" s="233">
        <f t="shared" si="100"/>
        <v>0.17466888</v>
      </c>
      <c r="M600" s="237">
        <v>0</v>
      </c>
      <c r="N600" s="233">
        <v>0</v>
      </c>
      <c r="O600" s="233">
        <f t="shared" si="93"/>
        <v>0.18494352</v>
      </c>
      <c r="P600" s="233">
        <f t="shared" si="98"/>
        <v>8.9999999999999993E-3</v>
      </c>
      <c r="Q600" s="233">
        <f t="shared" si="97"/>
        <v>0.17594351999999999</v>
      </c>
      <c r="R600" s="217" t="s">
        <v>284</v>
      </c>
      <c r="S600" s="216" t="s">
        <v>1098</v>
      </c>
      <c r="T600" s="222" t="s">
        <v>282</v>
      </c>
      <c r="U600" s="222" t="s">
        <v>283</v>
      </c>
      <c r="V600" s="222"/>
      <c r="W600" s="15"/>
      <c r="X600" s="15"/>
      <c r="Y600" s="15"/>
      <c r="Z600" s="15"/>
      <c r="AA600" s="15"/>
      <c r="AB600" s="15"/>
      <c r="AC600" s="15"/>
      <c r="AD600" s="15"/>
    </row>
    <row r="601" spans="1:30" s="14" customFormat="1" ht="86.45" customHeight="1" x14ac:dyDescent="0.75">
      <c r="A601" s="330">
        <v>226</v>
      </c>
      <c r="B601" s="355" t="s">
        <v>872</v>
      </c>
      <c r="C601" s="330" t="s">
        <v>511</v>
      </c>
      <c r="D601" s="347">
        <v>110019002360</v>
      </c>
      <c r="E601" s="221" t="s">
        <v>1298</v>
      </c>
      <c r="F601" s="216" t="s">
        <v>20</v>
      </c>
      <c r="G601" s="216">
        <v>2.6</v>
      </c>
      <c r="H601" s="233">
        <v>10.870599</v>
      </c>
      <c r="I601" s="233">
        <f t="shared" ref="I601:I617" si="101">+H601*0.005</f>
        <v>5.4352995000000001E-2</v>
      </c>
      <c r="J601" s="233">
        <v>0</v>
      </c>
      <c r="K601" s="233">
        <f>((36+13)*1000)/1000000</f>
        <v>4.9000000000000002E-2</v>
      </c>
      <c r="L601" s="233">
        <f t="shared" ref="L601:L617" si="102">+H601*(8.5/100)</f>
        <v>0.92400091500000014</v>
      </c>
      <c r="M601" s="237">
        <v>0</v>
      </c>
      <c r="N601" s="233">
        <f>((596+232)*1000)/1000000</f>
        <v>0.82799999999999996</v>
      </c>
      <c r="O601" s="233">
        <f t="shared" si="93"/>
        <v>0.97835391000000016</v>
      </c>
      <c r="P601" s="233">
        <f>+((J601+K601)+(M601+N601))</f>
        <v>0.877</v>
      </c>
      <c r="Q601" s="233">
        <f t="shared" si="97"/>
        <v>0.10135391000000016</v>
      </c>
      <c r="R601" s="217" t="s">
        <v>284</v>
      </c>
      <c r="S601" s="216" t="s">
        <v>1099</v>
      </c>
      <c r="T601" s="222" t="s">
        <v>282</v>
      </c>
      <c r="U601" s="222" t="s">
        <v>310</v>
      </c>
      <c r="V601" s="222"/>
      <c r="W601" s="15"/>
      <c r="X601" s="15"/>
      <c r="Y601" s="15"/>
      <c r="Z601" s="15"/>
      <c r="AA601" s="15"/>
      <c r="AB601" s="15"/>
      <c r="AC601" s="15"/>
      <c r="AD601" s="15"/>
    </row>
    <row r="602" spans="1:30" s="14" customFormat="1" ht="86.45" customHeight="1" x14ac:dyDescent="0.75">
      <c r="A602" s="332"/>
      <c r="B602" s="356"/>
      <c r="C602" s="332"/>
      <c r="D602" s="348"/>
      <c r="E602" s="260" t="s">
        <v>1358</v>
      </c>
      <c r="F602" s="254" t="s">
        <v>20</v>
      </c>
      <c r="G602" s="254">
        <v>2.6</v>
      </c>
      <c r="H602" s="255">
        <v>9.6379999999999999</v>
      </c>
      <c r="I602" s="255">
        <v>4.9000000000000002E-2</v>
      </c>
      <c r="J602" s="255">
        <v>0</v>
      </c>
      <c r="K602" s="255">
        <v>4.9000000000000002E-2</v>
      </c>
      <c r="L602" s="255">
        <v>0.82799999999999996</v>
      </c>
      <c r="M602" s="256">
        <v>0</v>
      </c>
      <c r="N602" s="255">
        <v>0.82799999999999996</v>
      </c>
      <c r="O602" s="255">
        <f t="shared" si="93"/>
        <v>0.877</v>
      </c>
      <c r="P602" s="255">
        <f>+((J602+K602)+(M602+N602))</f>
        <v>0.877</v>
      </c>
      <c r="Q602" s="255">
        <f t="shared" si="97"/>
        <v>0</v>
      </c>
      <c r="R602" s="258"/>
      <c r="S602" s="254"/>
      <c r="T602" s="222"/>
      <c r="U602" s="222"/>
      <c r="V602" s="222"/>
      <c r="W602" s="15"/>
      <c r="X602" s="15"/>
      <c r="Y602" s="15"/>
      <c r="Z602" s="15"/>
      <c r="AA602" s="15"/>
      <c r="AB602" s="15"/>
      <c r="AC602" s="15"/>
      <c r="AD602" s="15"/>
    </row>
    <row r="603" spans="1:30" s="14" customFormat="1" ht="86.45" customHeight="1" x14ac:dyDescent="0.75">
      <c r="A603" s="330">
        <v>227</v>
      </c>
      <c r="B603" s="355" t="s">
        <v>873</v>
      </c>
      <c r="C603" s="330" t="s">
        <v>511</v>
      </c>
      <c r="D603" s="347">
        <v>125019004330</v>
      </c>
      <c r="E603" s="347" t="s">
        <v>1298</v>
      </c>
      <c r="F603" s="216" t="s">
        <v>18</v>
      </c>
      <c r="G603" s="216">
        <v>10</v>
      </c>
      <c r="H603" s="233">
        <v>11.242490999999999</v>
      </c>
      <c r="I603" s="233">
        <f>+H603*0.005</f>
        <v>5.6212454999999995E-2</v>
      </c>
      <c r="J603" s="233">
        <v>0</v>
      </c>
      <c r="K603" s="233">
        <v>8.9999999999999993E-3</v>
      </c>
      <c r="L603" s="233">
        <f>+H603*(8.5/100)</f>
        <v>0.95561173499999996</v>
      </c>
      <c r="M603" s="237">
        <v>0</v>
      </c>
      <c r="N603" s="233">
        <v>0.158</v>
      </c>
      <c r="O603" s="233">
        <f>+I603+L603</f>
        <v>1.01182419</v>
      </c>
      <c r="P603" s="233">
        <f>+((J603+K603)+(M603+N603))</f>
        <v>0.16700000000000001</v>
      </c>
      <c r="Q603" s="233">
        <f>+O603-P603</f>
        <v>0.84482418999999997</v>
      </c>
      <c r="R603" s="217" t="s">
        <v>284</v>
      </c>
      <c r="S603" s="216" t="s">
        <v>1100</v>
      </c>
      <c r="T603" s="222" t="s">
        <v>282</v>
      </c>
      <c r="U603" s="222" t="s">
        <v>283</v>
      </c>
      <c r="V603" s="222"/>
      <c r="W603" s="15"/>
      <c r="X603" s="15"/>
      <c r="Y603" s="15"/>
      <c r="Z603" s="15"/>
      <c r="AA603" s="15"/>
      <c r="AB603" s="15"/>
      <c r="AC603" s="15"/>
      <c r="AD603" s="15"/>
    </row>
    <row r="604" spans="1:30" s="14" customFormat="1" ht="86.45" customHeight="1" x14ac:dyDescent="0.75">
      <c r="A604" s="331"/>
      <c r="B604" s="363"/>
      <c r="C604" s="331"/>
      <c r="D604" s="349"/>
      <c r="E604" s="349"/>
      <c r="F604" s="216" t="s">
        <v>20</v>
      </c>
      <c r="G604" s="216">
        <v>10</v>
      </c>
      <c r="H604" s="233">
        <v>38.060549000000002</v>
      </c>
      <c r="I604" s="233">
        <f t="shared" si="101"/>
        <v>0.19030274500000002</v>
      </c>
      <c r="J604" s="233">
        <v>0</v>
      </c>
      <c r="K604" s="233">
        <f>((170+66)*1000)/1000000</f>
        <v>0.23599999999999999</v>
      </c>
      <c r="L604" s="233">
        <f t="shared" si="102"/>
        <v>3.2351466650000003</v>
      </c>
      <c r="M604" s="237">
        <v>0</v>
      </c>
      <c r="N604" s="233">
        <f>((2901+1119)*1000)/1000000</f>
        <v>4.0199999999999996</v>
      </c>
      <c r="O604" s="233">
        <f t="shared" si="93"/>
        <v>3.4254494100000001</v>
      </c>
      <c r="P604" s="233">
        <f t="shared" si="98"/>
        <v>4.2559999999999993</v>
      </c>
      <c r="Q604" s="233">
        <f t="shared" si="97"/>
        <v>-0.8305505899999992</v>
      </c>
      <c r="R604" s="217" t="s">
        <v>19</v>
      </c>
      <c r="S604" s="216" t="s">
        <v>1099</v>
      </c>
      <c r="T604" s="222" t="s">
        <v>282</v>
      </c>
      <c r="U604" s="222" t="s">
        <v>310</v>
      </c>
      <c r="V604" s="222"/>
      <c r="W604" s="15"/>
      <c r="X604" s="15"/>
      <c r="Y604" s="15"/>
      <c r="Z604" s="15"/>
      <c r="AA604" s="15"/>
      <c r="AB604" s="15"/>
      <c r="AC604" s="15"/>
      <c r="AD604" s="15"/>
    </row>
    <row r="605" spans="1:30" s="14" customFormat="1" ht="86.45" customHeight="1" x14ac:dyDescent="0.75">
      <c r="A605" s="331"/>
      <c r="B605" s="363"/>
      <c r="C605" s="331"/>
      <c r="D605" s="349"/>
      <c r="E605" s="349"/>
      <c r="F605" s="216" t="s">
        <v>21</v>
      </c>
      <c r="G605" s="216">
        <v>5.5</v>
      </c>
      <c r="H605" s="233">
        <v>31.984259999999999</v>
      </c>
      <c r="I605" s="233">
        <f>+H605*0.01</f>
        <v>0.31984259999999998</v>
      </c>
      <c r="J605" s="237">
        <v>0</v>
      </c>
      <c r="K605" s="233">
        <f>((39+73+212+12)*1000)/1000000</f>
        <v>0.33600000000000002</v>
      </c>
      <c r="L605" s="233">
        <f>+H605*(10/100)</f>
        <v>3.198426</v>
      </c>
      <c r="M605" s="237">
        <v>0</v>
      </c>
      <c r="N605" s="233">
        <f>((395+743+2055+191)*1000)/1000000</f>
        <v>3.3839999999999999</v>
      </c>
      <c r="O605" s="233">
        <f>+I605+L605</f>
        <v>3.5182685999999999</v>
      </c>
      <c r="P605" s="233">
        <f>+((J605+K605)+(M605+N605))</f>
        <v>3.7199999999999998</v>
      </c>
      <c r="Q605" s="233">
        <f>+O605-P605</f>
        <v>-0.20173139999999989</v>
      </c>
      <c r="R605" s="217" t="s">
        <v>284</v>
      </c>
      <c r="S605" s="216" t="s">
        <v>961</v>
      </c>
      <c r="T605" s="222" t="s">
        <v>282</v>
      </c>
      <c r="U605" s="222" t="s">
        <v>310</v>
      </c>
      <c r="V605" s="222"/>
      <c r="W605" s="15"/>
      <c r="X605" s="15"/>
      <c r="Y605" s="15"/>
      <c r="Z605" s="15"/>
      <c r="AA605" s="15"/>
      <c r="AB605" s="15"/>
      <c r="AC605" s="15"/>
      <c r="AD605" s="15"/>
    </row>
    <row r="606" spans="1:30" s="14" customFormat="1" ht="86.45" customHeight="1" x14ac:dyDescent="0.7">
      <c r="A606" s="331"/>
      <c r="B606" s="363"/>
      <c r="C606" s="331"/>
      <c r="D606" s="349"/>
      <c r="E606" s="348"/>
      <c r="F606" s="216" t="s">
        <v>22</v>
      </c>
      <c r="G606" s="223">
        <v>5.5</v>
      </c>
      <c r="H606" s="233">
        <f>39022021/1000000</f>
        <v>39.022021000000002</v>
      </c>
      <c r="I606" s="233">
        <f>+H606*0.02</f>
        <v>0.78044042000000002</v>
      </c>
      <c r="J606" s="237">
        <v>0</v>
      </c>
      <c r="K606" s="233">
        <v>0</v>
      </c>
      <c r="L606" s="233">
        <f>+H606*(10.5/100)</f>
        <v>4.0973122049999997</v>
      </c>
      <c r="M606" s="237">
        <v>0</v>
      </c>
      <c r="N606" s="233">
        <f>(3605*1000)/1000000</f>
        <v>3.605</v>
      </c>
      <c r="O606" s="233">
        <f>+I606+L606</f>
        <v>4.8777526249999994</v>
      </c>
      <c r="P606" s="233">
        <f>+((J606+K606)+(M606+N606))</f>
        <v>3.605</v>
      </c>
      <c r="Q606" s="233">
        <f>+O606-P606</f>
        <v>1.2727526249999994</v>
      </c>
      <c r="R606" s="216" t="s">
        <v>292</v>
      </c>
      <c r="S606" s="216" t="s">
        <v>149</v>
      </c>
      <c r="T606" s="222" t="s">
        <v>282</v>
      </c>
      <c r="U606" s="222" t="s">
        <v>283</v>
      </c>
      <c r="V606" s="222"/>
    </row>
    <row r="607" spans="1:30" s="14" customFormat="1" ht="86.45" customHeight="1" x14ac:dyDescent="0.7">
      <c r="A607" s="332"/>
      <c r="B607" s="356"/>
      <c r="C607" s="332"/>
      <c r="D607" s="348"/>
      <c r="E607" s="260" t="s">
        <v>1358</v>
      </c>
      <c r="F607" s="254" t="s">
        <v>22</v>
      </c>
      <c r="G607" s="265">
        <v>12</v>
      </c>
      <c r="H607" s="255">
        <v>37.31</v>
      </c>
      <c r="I607" s="255">
        <v>0.747</v>
      </c>
      <c r="J607" s="256">
        <v>0</v>
      </c>
      <c r="K607" s="255">
        <v>0</v>
      </c>
      <c r="L607" s="255">
        <v>3.9180000000000001</v>
      </c>
      <c r="M607" s="256">
        <v>0</v>
      </c>
      <c r="N607" s="255">
        <v>3.605</v>
      </c>
      <c r="O607" s="255">
        <f>+I607+L607</f>
        <v>4.665</v>
      </c>
      <c r="P607" s="255">
        <f>+((J607+K607)+(M607+N607))</f>
        <v>3.605</v>
      </c>
      <c r="Q607" s="255">
        <f>+O607-P607</f>
        <v>1.06</v>
      </c>
      <c r="R607" s="254"/>
      <c r="S607" s="254"/>
      <c r="T607" s="222"/>
      <c r="U607" s="222"/>
      <c r="V607" s="222"/>
    </row>
    <row r="608" spans="1:30" s="14" customFormat="1" ht="86.45" customHeight="1" x14ac:dyDescent="0.75">
      <c r="A608" s="216">
        <v>228</v>
      </c>
      <c r="B608" s="220" t="s">
        <v>874</v>
      </c>
      <c r="C608" s="216" t="s">
        <v>511</v>
      </c>
      <c r="D608" s="221">
        <v>36489018777</v>
      </c>
      <c r="E608" s="221"/>
      <c r="F608" s="216" t="s">
        <v>20</v>
      </c>
      <c r="G608" s="216">
        <v>5.5</v>
      </c>
      <c r="H608" s="233">
        <v>8.0310000000000006</v>
      </c>
      <c r="I608" s="233">
        <f t="shared" si="101"/>
        <v>4.0155000000000003E-2</v>
      </c>
      <c r="J608" s="233">
        <v>0</v>
      </c>
      <c r="K608" s="233">
        <f>((10+29)*1000)/1000000</f>
        <v>3.9E-2</v>
      </c>
      <c r="L608" s="233">
        <f t="shared" si="102"/>
        <v>0.6826350000000001</v>
      </c>
      <c r="M608" s="237">
        <v>0</v>
      </c>
      <c r="N608" s="233">
        <f>((200+456)*1000)/1000000</f>
        <v>0.65600000000000003</v>
      </c>
      <c r="O608" s="233">
        <f t="shared" si="93"/>
        <v>0.72279000000000015</v>
      </c>
      <c r="P608" s="233">
        <f t="shared" si="98"/>
        <v>0.69500000000000006</v>
      </c>
      <c r="Q608" s="233">
        <f t="shared" si="97"/>
        <v>2.7790000000000092E-2</v>
      </c>
      <c r="R608" s="217" t="s">
        <v>284</v>
      </c>
      <c r="S608" s="216" t="s">
        <v>1101</v>
      </c>
      <c r="T608" s="222" t="s">
        <v>282</v>
      </c>
      <c r="U608" s="222" t="s">
        <v>283</v>
      </c>
      <c r="V608" s="222"/>
      <c r="W608" s="15"/>
      <c r="X608" s="15"/>
      <c r="Y608" s="15"/>
      <c r="Z608" s="15"/>
      <c r="AA608" s="15"/>
      <c r="AB608" s="15"/>
      <c r="AC608" s="15"/>
      <c r="AD608" s="15"/>
    </row>
    <row r="609" spans="1:30" s="14" customFormat="1" ht="86.45" customHeight="1" x14ac:dyDescent="0.75">
      <c r="A609" s="216">
        <v>229</v>
      </c>
      <c r="B609" s="220" t="s">
        <v>875</v>
      </c>
      <c r="C609" s="216" t="s">
        <v>511</v>
      </c>
      <c r="D609" s="221">
        <v>430019003412</v>
      </c>
      <c r="E609" s="221"/>
      <c r="F609" s="216" t="s">
        <v>20</v>
      </c>
      <c r="G609" s="216">
        <v>3</v>
      </c>
      <c r="H609" s="233">
        <v>11.98948</v>
      </c>
      <c r="I609" s="233">
        <f t="shared" si="101"/>
        <v>5.9947400000000005E-2</v>
      </c>
      <c r="J609" s="233">
        <f>(737748.2/1000000)</f>
        <v>0.73774819999999997</v>
      </c>
      <c r="K609" s="233">
        <v>0</v>
      </c>
      <c r="L609" s="233">
        <f t="shared" si="102"/>
        <v>1.0191058000000002</v>
      </c>
      <c r="M609" s="237">
        <v>0</v>
      </c>
      <c r="N609" s="233">
        <f>((1019)*1000)/1000000</f>
        <v>1.0189999999999999</v>
      </c>
      <c r="O609" s="233">
        <f t="shared" si="93"/>
        <v>1.0790532000000002</v>
      </c>
      <c r="P609" s="233">
        <f t="shared" si="98"/>
        <v>1.7567481999999999</v>
      </c>
      <c r="Q609" s="233">
        <f t="shared" si="97"/>
        <v>-0.67769499999999971</v>
      </c>
      <c r="R609" s="217" t="s">
        <v>284</v>
      </c>
      <c r="S609" s="216" t="s">
        <v>939</v>
      </c>
      <c r="T609" s="222" t="s">
        <v>282</v>
      </c>
      <c r="U609" s="222" t="s">
        <v>310</v>
      </c>
      <c r="V609" s="222"/>
      <c r="W609" s="15"/>
      <c r="X609" s="15"/>
      <c r="Y609" s="15"/>
      <c r="Z609" s="15"/>
      <c r="AA609" s="15"/>
      <c r="AB609" s="15"/>
      <c r="AC609" s="15"/>
      <c r="AD609" s="15"/>
    </row>
    <row r="610" spans="1:30" s="245" customFormat="1" ht="86.45" customHeight="1" x14ac:dyDescent="0.75">
      <c r="A610" s="330">
        <v>230</v>
      </c>
      <c r="B610" s="324" t="s">
        <v>876</v>
      </c>
      <c r="C610" s="330" t="s">
        <v>511</v>
      </c>
      <c r="D610" s="347">
        <v>366589007050</v>
      </c>
      <c r="E610" s="221" t="s">
        <v>1298</v>
      </c>
      <c r="F610" s="216" t="s">
        <v>20</v>
      </c>
      <c r="G610" s="216">
        <v>3.3</v>
      </c>
      <c r="H610" s="233">
        <v>10.018031000000001</v>
      </c>
      <c r="I610" s="233">
        <f t="shared" si="101"/>
        <v>5.0090155000000004E-2</v>
      </c>
      <c r="J610" s="233">
        <v>0</v>
      </c>
      <c r="K610" s="233">
        <v>0</v>
      </c>
      <c r="L610" s="233">
        <f t="shared" si="102"/>
        <v>0.85153263500000009</v>
      </c>
      <c r="M610" s="237">
        <v>0</v>
      </c>
      <c r="N610" s="233">
        <v>0</v>
      </c>
      <c r="O610" s="233">
        <f t="shared" si="93"/>
        <v>0.90162279000000012</v>
      </c>
      <c r="P610" s="233">
        <f t="shared" si="98"/>
        <v>0</v>
      </c>
      <c r="Q610" s="233">
        <f t="shared" si="97"/>
        <v>0.90162279000000012</v>
      </c>
      <c r="R610" s="217" t="s">
        <v>19</v>
      </c>
      <c r="S610" s="216" t="s">
        <v>447</v>
      </c>
      <c r="T610" s="243" t="s">
        <v>344</v>
      </c>
      <c r="U610" s="243"/>
      <c r="V610" s="243"/>
      <c r="W610" s="244"/>
      <c r="X610" s="244"/>
      <c r="Y610" s="244"/>
      <c r="Z610" s="244"/>
      <c r="AA610" s="244"/>
      <c r="AB610" s="244"/>
      <c r="AC610" s="244"/>
      <c r="AD610" s="244"/>
    </row>
    <row r="611" spans="1:30" s="245" customFormat="1" ht="86.45" customHeight="1" x14ac:dyDescent="0.75">
      <c r="A611" s="332"/>
      <c r="B611" s="326"/>
      <c r="C611" s="332"/>
      <c r="D611" s="348"/>
      <c r="E611" s="260" t="s">
        <v>1390</v>
      </c>
      <c r="F611" s="360" t="s">
        <v>1367</v>
      </c>
      <c r="G611" s="361"/>
      <c r="H611" s="361"/>
      <c r="I611" s="361"/>
      <c r="J611" s="361"/>
      <c r="K611" s="361"/>
      <c r="L611" s="361"/>
      <c r="M611" s="361"/>
      <c r="N611" s="361"/>
      <c r="O611" s="361"/>
      <c r="P611" s="361"/>
      <c r="Q611" s="361"/>
      <c r="R611" s="361"/>
      <c r="S611" s="362"/>
      <c r="T611" s="243"/>
      <c r="U611" s="243"/>
      <c r="V611" s="243"/>
      <c r="W611" s="244"/>
      <c r="X611" s="244"/>
      <c r="Y611" s="244"/>
      <c r="Z611" s="244"/>
      <c r="AA611" s="244"/>
      <c r="AB611" s="244"/>
      <c r="AC611" s="244"/>
      <c r="AD611" s="244"/>
    </row>
    <row r="612" spans="1:30" s="245" customFormat="1" ht="86.45" customHeight="1" x14ac:dyDescent="0.75">
      <c r="A612" s="330">
        <v>231</v>
      </c>
      <c r="B612" s="330" t="s">
        <v>877</v>
      </c>
      <c r="C612" s="330" t="s">
        <v>511</v>
      </c>
      <c r="D612" s="347">
        <v>176759057670</v>
      </c>
      <c r="E612" s="221" t="s">
        <v>1298</v>
      </c>
      <c r="F612" s="247" t="s">
        <v>20</v>
      </c>
      <c r="G612" s="216">
        <v>4.5</v>
      </c>
      <c r="H612" s="233">
        <v>17.359794000000001</v>
      </c>
      <c r="I612" s="233">
        <f t="shared" si="101"/>
        <v>8.6798970000000003E-2</v>
      </c>
      <c r="J612" s="233">
        <v>0</v>
      </c>
      <c r="K612" s="233">
        <f>((10+10+25+6)*1000)/1000000</f>
        <v>5.0999999999999997E-2</v>
      </c>
      <c r="L612" s="233">
        <f t="shared" si="102"/>
        <v>1.4755824900000001</v>
      </c>
      <c r="M612" s="237">
        <v>0</v>
      </c>
      <c r="N612" s="233">
        <f>((100+200+481+94)*1000)/1000000</f>
        <v>0.875</v>
      </c>
      <c r="O612" s="233">
        <f t="shared" si="93"/>
        <v>1.5623814600000001</v>
      </c>
      <c r="P612" s="233">
        <f t="shared" si="98"/>
        <v>0.92600000000000005</v>
      </c>
      <c r="Q612" s="233">
        <f t="shared" si="97"/>
        <v>0.63638146000000007</v>
      </c>
      <c r="R612" s="217" t="s">
        <v>284</v>
      </c>
      <c r="S612" s="216" t="s">
        <v>1102</v>
      </c>
      <c r="T612" s="243" t="s">
        <v>282</v>
      </c>
      <c r="U612" s="243" t="s">
        <v>283</v>
      </c>
      <c r="V612" s="243"/>
      <c r="W612" s="244"/>
      <c r="X612" s="244"/>
      <c r="Y612" s="244"/>
      <c r="Z612" s="244"/>
      <c r="AA612" s="244"/>
      <c r="AB612" s="244"/>
      <c r="AC612" s="244"/>
      <c r="AD612" s="244"/>
    </row>
    <row r="613" spans="1:30" s="245" customFormat="1" ht="86.45" customHeight="1" x14ac:dyDescent="0.75">
      <c r="A613" s="332"/>
      <c r="B613" s="332"/>
      <c r="C613" s="332"/>
      <c r="D613" s="348"/>
      <c r="E613" s="260" t="s">
        <v>1309</v>
      </c>
      <c r="F613" s="259" t="s">
        <v>20</v>
      </c>
      <c r="G613" s="254">
        <v>4.5</v>
      </c>
      <c r="H613" s="255">
        <v>17.359794000000001</v>
      </c>
      <c r="I613" s="255">
        <f t="shared" ref="I613" si="103">+H613*0.005</f>
        <v>8.6798970000000003E-2</v>
      </c>
      <c r="J613" s="255">
        <v>0</v>
      </c>
      <c r="K613" s="255">
        <v>4.4999999999999998E-2</v>
      </c>
      <c r="L613" s="255">
        <f t="shared" ref="L613" si="104">+H613*(8.5/100)</f>
        <v>1.4755824900000001</v>
      </c>
      <c r="M613" s="256">
        <v>0</v>
      </c>
      <c r="N613" s="255">
        <v>0.78100000000000003</v>
      </c>
      <c r="O613" s="255">
        <f t="shared" si="93"/>
        <v>1.5623814600000001</v>
      </c>
      <c r="P613" s="255">
        <f t="shared" si="98"/>
        <v>0.82600000000000007</v>
      </c>
      <c r="Q613" s="255">
        <f t="shared" si="97"/>
        <v>0.73638146000000004</v>
      </c>
      <c r="R613" s="258"/>
      <c r="S613" s="254"/>
      <c r="T613" s="246"/>
      <c r="U613" s="243"/>
      <c r="V613" s="243"/>
      <c r="W613" s="244"/>
      <c r="X613" s="244"/>
      <c r="Y613" s="244"/>
      <c r="Z613" s="244"/>
      <c r="AA613" s="244"/>
      <c r="AB613" s="244"/>
      <c r="AC613" s="244"/>
      <c r="AD613" s="244"/>
    </row>
    <row r="614" spans="1:30" s="14" customFormat="1" ht="86.45" customHeight="1" x14ac:dyDescent="0.75">
      <c r="A614" s="216">
        <v>232</v>
      </c>
      <c r="B614" s="220" t="s">
        <v>878</v>
      </c>
      <c r="C614" s="216" t="s">
        <v>511</v>
      </c>
      <c r="D614" s="221">
        <v>420819011460</v>
      </c>
      <c r="E614" s="221"/>
      <c r="F614" s="216" t="s">
        <v>20</v>
      </c>
      <c r="G614" s="216">
        <v>2.5</v>
      </c>
      <c r="H614" s="233">
        <v>8.0447100000000002</v>
      </c>
      <c r="I614" s="233">
        <f t="shared" si="101"/>
        <v>4.0223550000000004E-2</v>
      </c>
      <c r="J614" s="233">
        <v>0</v>
      </c>
      <c r="K614" s="233">
        <f>(10+15+7+4)*1000/1000000</f>
        <v>3.5999999999999997E-2</v>
      </c>
      <c r="L614" s="233">
        <f t="shared" si="102"/>
        <v>0.68380035000000006</v>
      </c>
      <c r="M614" s="237">
        <v>0</v>
      </c>
      <c r="N614" s="233">
        <f>(150+300+95+64)*1000/1000000</f>
        <v>0.60899999999999999</v>
      </c>
      <c r="O614" s="233">
        <f t="shared" si="93"/>
        <v>0.72402390000000005</v>
      </c>
      <c r="P614" s="233">
        <f t="shared" si="98"/>
        <v>0.64500000000000002</v>
      </c>
      <c r="Q614" s="233">
        <f t="shared" si="97"/>
        <v>7.9023900000000036E-2</v>
      </c>
      <c r="R614" s="217" t="s">
        <v>284</v>
      </c>
      <c r="S614" s="216" t="s">
        <v>1014</v>
      </c>
      <c r="T614" s="222" t="s">
        <v>282</v>
      </c>
      <c r="U614" s="222" t="s">
        <v>283</v>
      </c>
      <c r="V614" s="222"/>
      <c r="W614" s="15"/>
      <c r="X614" s="15"/>
      <c r="Y614" s="15"/>
      <c r="Z614" s="15"/>
      <c r="AA614" s="15"/>
      <c r="AB614" s="15"/>
      <c r="AC614" s="15"/>
      <c r="AD614" s="15"/>
    </row>
    <row r="615" spans="1:30" s="14" customFormat="1" ht="86.45" customHeight="1" x14ac:dyDescent="0.75">
      <c r="A615" s="216">
        <v>233</v>
      </c>
      <c r="B615" s="220" t="s">
        <v>918</v>
      </c>
      <c r="C615" s="216" t="s">
        <v>536</v>
      </c>
      <c r="D615" s="221">
        <v>900000035682</v>
      </c>
      <c r="E615" s="221"/>
      <c r="F615" s="216" t="s">
        <v>20</v>
      </c>
      <c r="G615" s="216">
        <v>3.4</v>
      </c>
      <c r="H615" s="233">
        <v>4.97</v>
      </c>
      <c r="I615" s="233">
        <f t="shared" si="101"/>
        <v>2.4850000000000001E-2</v>
      </c>
      <c r="J615" s="233">
        <v>0</v>
      </c>
      <c r="K615" s="233">
        <v>0</v>
      </c>
      <c r="L615" s="233">
        <f t="shared" si="102"/>
        <v>0.42244999999999999</v>
      </c>
      <c r="M615" s="237">
        <v>0</v>
      </c>
      <c r="N615" s="233">
        <v>0</v>
      </c>
      <c r="O615" s="233">
        <f t="shared" si="93"/>
        <v>0.44729999999999998</v>
      </c>
      <c r="P615" s="233">
        <f t="shared" si="98"/>
        <v>0</v>
      </c>
      <c r="Q615" s="233">
        <f t="shared" si="97"/>
        <v>0.44729999999999998</v>
      </c>
      <c r="R615" s="217" t="s">
        <v>46</v>
      </c>
      <c r="S615" s="216" t="s">
        <v>445</v>
      </c>
      <c r="T615" s="222" t="s">
        <v>344</v>
      </c>
      <c r="U615" s="222"/>
      <c r="V615" s="222"/>
      <c r="W615" s="15"/>
      <c r="X615" s="15"/>
      <c r="Y615" s="15"/>
      <c r="Z615" s="15"/>
      <c r="AA615" s="15"/>
      <c r="AB615" s="15"/>
      <c r="AC615" s="15"/>
      <c r="AD615" s="15"/>
    </row>
    <row r="616" spans="1:30" s="14" customFormat="1" ht="86.45" customHeight="1" x14ac:dyDescent="0.75">
      <c r="A616" s="216">
        <v>234</v>
      </c>
      <c r="B616" s="220" t="s">
        <v>919</v>
      </c>
      <c r="C616" s="216" t="s">
        <v>536</v>
      </c>
      <c r="D616" s="221">
        <v>900000078205</v>
      </c>
      <c r="E616" s="221"/>
      <c r="F616" s="216" t="s">
        <v>20</v>
      </c>
      <c r="G616" s="216" t="s">
        <v>142</v>
      </c>
      <c r="H616" s="233">
        <v>6.72</v>
      </c>
      <c r="I616" s="233">
        <f t="shared" si="101"/>
        <v>3.3599999999999998E-2</v>
      </c>
      <c r="J616" s="233">
        <v>0</v>
      </c>
      <c r="K616" s="233">
        <v>0</v>
      </c>
      <c r="L616" s="233">
        <f t="shared" si="102"/>
        <v>0.57120000000000004</v>
      </c>
      <c r="M616" s="237">
        <v>0</v>
      </c>
      <c r="N616" s="233">
        <v>0</v>
      </c>
      <c r="O616" s="233">
        <f t="shared" si="93"/>
        <v>0.6048</v>
      </c>
      <c r="P616" s="233">
        <f t="shared" si="98"/>
        <v>0</v>
      </c>
      <c r="Q616" s="233">
        <f t="shared" si="97"/>
        <v>0.6048</v>
      </c>
      <c r="R616" s="217" t="s">
        <v>46</v>
      </c>
      <c r="S616" s="216" t="s">
        <v>50</v>
      </c>
      <c r="T616" s="222" t="s">
        <v>344</v>
      </c>
      <c r="U616" s="222"/>
      <c r="V616" s="222"/>
      <c r="W616" s="15"/>
      <c r="X616" s="15"/>
      <c r="Y616" s="15"/>
      <c r="Z616" s="15"/>
      <c r="AA616" s="15"/>
      <c r="AB616" s="15"/>
      <c r="AC616" s="15"/>
      <c r="AD616" s="15"/>
    </row>
    <row r="617" spans="1:30" s="14" customFormat="1" ht="86.45" customHeight="1" x14ac:dyDescent="0.75">
      <c r="A617" s="333">
        <v>235</v>
      </c>
      <c r="B617" s="353" t="s">
        <v>744</v>
      </c>
      <c r="C617" s="333" t="s">
        <v>511</v>
      </c>
      <c r="D617" s="354">
        <v>170019035310</v>
      </c>
      <c r="E617" s="221"/>
      <c r="F617" s="216" t="s">
        <v>18</v>
      </c>
      <c r="G617" s="216">
        <v>1.5</v>
      </c>
      <c r="H617" s="233">
        <v>17.062007000000001</v>
      </c>
      <c r="I617" s="233">
        <f t="shared" si="101"/>
        <v>8.5310035000000006E-2</v>
      </c>
      <c r="J617" s="233">
        <v>0</v>
      </c>
      <c r="K617" s="233">
        <f>(5+6+5+6+5+10+39)*1000/1000000</f>
        <v>7.5999999999999998E-2</v>
      </c>
      <c r="L617" s="233">
        <f t="shared" si="102"/>
        <v>1.4502705950000001</v>
      </c>
      <c r="M617" s="237">
        <v>0</v>
      </c>
      <c r="N617" s="233">
        <f>(97+94+92+95+94+633+154)*1000/1000000</f>
        <v>1.2589999999999999</v>
      </c>
      <c r="O617" s="233">
        <f t="shared" si="93"/>
        <v>1.5355806300000001</v>
      </c>
      <c r="P617" s="233">
        <f t="shared" si="98"/>
        <v>1.335</v>
      </c>
      <c r="Q617" s="233">
        <f t="shared" si="97"/>
        <v>0.20058063000000015</v>
      </c>
      <c r="R617" s="217" t="s">
        <v>277</v>
      </c>
      <c r="S617" s="216" t="s">
        <v>1103</v>
      </c>
      <c r="T617" s="222" t="s">
        <v>282</v>
      </c>
      <c r="U617" s="222" t="s">
        <v>283</v>
      </c>
      <c r="V617" s="222"/>
      <c r="W617" s="15"/>
      <c r="X617" s="15"/>
      <c r="Y617" s="15"/>
      <c r="Z617" s="15"/>
      <c r="AA617" s="15"/>
      <c r="AB617" s="15"/>
      <c r="AC617" s="15"/>
      <c r="AD617" s="15"/>
    </row>
    <row r="618" spans="1:30" s="14" customFormat="1" ht="86.45" customHeight="1" x14ac:dyDescent="0.75">
      <c r="A618" s="333"/>
      <c r="B618" s="353"/>
      <c r="C618" s="333"/>
      <c r="D618" s="354"/>
      <c r="E618" s="221"/>
      <c r="F618" s="216" t="s">
        <v>20</v>
      </c>
      <c r="G618" s="216">
        <v>1.5</v>
      </c>
      <c r="H618" s="233">
        <v>29.070383</v>
      </c>
      <c r="I618" s="233">
        <f>+H618*0.005</f>
        <v>0.145351915</v>
      </c>
      <c r="J618" s="233">
        <v>0</v>
      </c>
      <c r="K618" s="233">
        <f>((94+22+11)*1000)/1000000</f>
        <v>0.127</v>
      </c>
      <c r="L618" s="233">
        <f>+H618*(8.5/100)</f>
        <v>2.470982555</v>
      </c>
      <c r="M618" s="237">
        <v>0</v>
      </c>
      <c r="N618" s="233">
        <f>((1614+358+180)*1000)/1000000</f>
        <v>2.1520000000000001</v>
      </c>
      <c r="O618" s="233">
        <f>+I618+L618</f>
        <v>2.61633447</v>
      </c>
      <c r="P618" s="233">
        <f>+((J618+K618)+(M618+N618))</f>
        <v>2.2789999999999999</v>
      </c>
      <c r="Q618" s="233">
        <f>+O618-P618</f>
        <v>0.33733447000000005</v>
      </c>
      <c r="R618" s="217" t="s">
        <v>284</v>
      </c>
      <c r="S618" s="216" t="s">
        <v>1104</v>
      </c>
      <c r="T618" s="222" t="s">
        <v>282</v>
      </c>
      <c r="U618" s="222" t="s">
        <v>283</v>
      </c>
      <c r="V618" s="222"/>
      <c r="W618" s="15"/>
      <c r="X618" s="15"/>
      <c r="Y618" s="15"/>
      <c r="Z618" s="15"/>
      <c r="AA618" s="15"/>
      <c r="AB618" s="15"/>
      <c r="AC618" s="15"/>
      <c r="AD618" s="15"/>
    </row>
    <row r="619" spans="1:30" s="14" customFormat="1" ht="86.45" customHeight="1" x14ac:dyDescent="0.75">
      <c r="A619" s="333"/>
      <c r="B619" s="353"/>
      <c r="C619" s="333"/>
      <c r="D619" s="354"/>
      <c r="E619" s="221"/>
      <c r="F619" s="216" t="s">
        <v>21</v>
      </c>
      <c r="G619" s="216">
        <v>6</v>
      </c>
      <c r="H619" s="233">
        <v>8.4888899999999996</v>
      </c>
      <c r="I619" s="233">
        <f>+H619*0.01</f>
        <v>8.4888900000000003E-2</v>
      </c>
      <c r="J619" s="233">
        <v>0.20599999999999999</v>
      </c>
      <c r="K619" s="233">
        <f>((21+22+19+28+25+27+28+28+24)*1000/1000000)</f>
        <v>0.222</v>
      </c>
      <c r="L619" s="233">
        <f>+H619*(10/100)</f>
        <v>0.848889</v>
      </c>
      <c r="M619" s="237">
        <v>0</v>
      </c>
      <c r="N619" s="233">
        <f>((214+225+320+147+245+275+283+275+244+284+719)*1000/1000000)</f>
        <v>3.2309999999999999</v>
      </c>
      <c r="O619" s="233">
        <f t="shared" si="93"/>
        <v>0.93377790000000005</v>
      </c>
      <c r="P619" s="233">
        <f t="shared" si="98"/>
        <v>3.6589999999999998</v>
      </c>
      <c r="Q619" s="233">
        <f t="shared" si="97"/>
        <v>-2.7252220999999999</v>
      </c>
      <c r="R619" s="217" t="s">
        <v>284</v>
      </c>
      <c r="S619" s="216" t="s">
        <v>1105</v>
      </c>
      <c r="T619" s="222" t="s">
        <v>282</v>
      </c>
      <c r="U619" s="222" t="s">
        <v>310</v>
      </c>
      <c r="V619" s="222"/>
      <c r="W619" s="15"/>
      <c r="X619" s="15"/>
      <c r="Y619" s="15"/>
      <c r="Z619" s="15"/>
      <c r="AA619" s="15"/>
      <c r="AB619" s="15"/>
      <c r="AC619" s="15"/>
      <c r="AD619" s="15"/>
    </row>
    <row r="620" spans="1:30" s="14" customFormat="1" ht="86.45" customHeight="1" x14ac:dyDescent="0.7">
      <c r="A620" s="333"/>
      <c r="B620" s="353"/>
      <c r="C620" s="333"/>
      <c r="D620" s="354"/>
      <c r="E620" s="221"/>
      <c r="F620" s="216" t="s">
        <v>22</v>
      </c>
      <c r="G620" s="216">
        <v>7</v>
      </c>
      <c r="H620" s="233">
        <f>22427150/1000000</f>
        <v>22.427150000000001</v>
      </c>
      <c r="I620" s="233">
        <f>+H620*0.02</f>
        <v>0.44854300000000003</v>
      </c>
      <c r="J620" s="233">
        <v>0</v>
      </c>
      <c r="K620" s="233">
        <f>(390*1000)/1000000</f>
        <v>0.39</v>
      </c>
      <c r="L620" s="233">
        <f>+H620*(10.5/100)</f>
        <v>2.3548507500000002</v>
      </c>
      <c r="M620" s="237">
        <v>0</v>
      </c>
      <c r="N620" s="233">
        <f>((376+1600)*1000)/1000000</f>
        <v>1.976</v>
      </c>
      <c r="O620" s="233">
        <f>+I620+L620</f>
        <v>2.8033937500000001</v>
      </c>
      <c r="P620" s="233">
        <f>+((J620+K620)+(M620+N620))</f>
        <v>2.3660000000000001</v>
      </c>
      <c r="Q620" s="233">
        <f>+O620-P620</f>
        <v>0.43739375000000003</v>
      </c>
      <c r="R620" s="216" t="s">
        <v>19</v>
      </c>
      <c r="S620" s="216" t="s">
        <v>140</v>
      </c>
      <c r="T620" s="222" t="s">
        <v>282</v>
      </c>
      <c r="U620" s="222" t="s">
        <v>283</v>
      </c>
      <c r="V620" s="222"/>
    </row>
    <row r="621" spans="1:30" s="14" customFormat="1" ht="86.45" customHeight="1" x14ac:dyDescent="0.7">
      <c r="A621" s="216">
        <v>236</v>
      </c>
      <c r="B621" s="220" t="s">
        <v>905</v>
      </c>
      <c r="C621" s="216" t="s">
        <v>511</v>
      </c>
      <c r="D621" s="221">
        <v>31069021980</v>
      </c>
      <c r="E621" s="221"/>
      <c r="F621" s="216" t="s">
        <v>27</v>
      </c>
      <c r="G621" s="223">
        <v>12</v>
      </c>
      <c r="H621" s="234">
        <v>58.712823</v>
      </c>
      <c r="I621" s="233">
        <f>+H621*(3.5/100)</f>
        <v>2.054948805</v>
      </c>
      <c r="J621" s="233">
        <v>0</v>
      </c>
      <c r="K621" s="233">
        <v>0</v>
      </c>
      <c r="L621" s="233">
        <f>+H621*(11.5/100)</f>
        <v>6.7519746450000007</v>
      </c>
      <c r="M621" s="237">
        <v>0</v>
      </c>
      <c r="N621" s="233">
        <v>0</v>
      </c>
      <c r="O621" s="233">
        <f t="shared" ref="O621:O723" si="105">+I621+L621</f>
        <v>8.8069234500000011</v>
      </c>
      <c r="P621" s="233">
        <f t="shared" si="98"/>
        <v>0</v>
      </c>
      <c r="Q621" s="233">
        <f t="shared" si="97"/>
        <v>8.8069234500000011</v>
      </c>
      <c r="R621" s="217" t="s">
        <v>496</v>
      </c>
      <c r="S621" s="223" t="s">
        <v>143</v>
      </c>
      <c r="T621" s="222" t="s">
        <v>282</v>
      </c>
      <c r="U621" s="222" t="s">
        <v>283</v>
      </c>
      <c r="V621" s="222"/>
    </row>
    <row r="622" spans="1:30" s="14" customFormat="1" ht="86.45" customHeight="1" x14ac:dyDescent="0.75">
      <c r="A622" s="330">
        <v>237</v>
      </c>
      <c r="B622" s="324" t="s">
        <v>1389</v>
      </c>
      <c r="C622" s="330" t="s">
        <v>511</v>
      </c>
      <c r="D622" s="347">
        <v>3019005177</v>
      </c>
      <c r="E622" s="347" t="s">
        <v>1298</v>
      </c>
      <c r="F622" s="216" t="s">
        <v>18</v>
      </c>
      <c r="G622" s="216">
        <v>9</v>
      </c>
      <c r="H622" s="233">
        <v>58.040531999999999</v>
      </c>
      <c r="I622" s="233">
        <f>+H622*0.005</f>
        <v>0.29020266</v>
      </c>
      <c r="J622" s="233">
        <v>0</v>
      </c>
      <c r="K622" s="233">
        <v>0</v>
      </c>
      <c r="L622" s="233">
        <f>+H622*(8.5/100)</f>
        <v>4.9334452200000003</v>
      </c>
      <c r="M622" s="237">
        <v>0</v>
      </c>
      <c r="N622" s="233">
        <v>0</v>
      </c>
      <c r="O622" s="233">
        <f t="shared" si="105"/>
        <v>5.2236478800000006</v>
      </c>
      <c r="P622" s="233">
        <f t="shared" si="98"/>
        <v>0</v>
      </c>
      <c r="Q622" s="233">
        <f t="shared" si="97"/>
        <v>5.2236478800000006</v>
      </c>
      <c r="R622" s="217" t="s">
        <v>19</v>
      </c>
      <c r="S622" s="216" t="s">
        <v>346</v>
      </c>
      <c r="T622" s="222" t="s">
        <v>344</v>
      </c>
      <c r="U622" s="222"/>
      <c r="V622" s="222"/>
      <c r="W622" s="15"/>
      <c r="X622" s="15"/>
      <c r="Y622" s="15"/>
      <c r="Z622" s="15"/>
      <c r="AA622" s="15"/>
      <c r="AB622" s="15"/>
      <c r="AC622" s="15"/>
      <c r="AD622" s="15"/>
    </row>
    <row r="623" spans="1:30" s="245" customFormat="1" ht="86.45" customHeight="1" x14ac:dyDescent="0.75">
      <c r="A623" s="331"/>
      <c r="B623" s="325"/>
      <c r="C623" s="331"/>
      <c r="D623" s="349"/>
      <c r="E623" s="349"/>
      <c r="F623" s="216" t="s">
        <v>20</v>
      </c>
      <c r="G623" s="216">
        <v>9</v>
      </c>
      <c r="H623" s="233">
        <v>71.325143999999995</v>
      </c>
      <c r="I623" s="233">
        <f>+H623*0.005</f>
        <v>0.35662571999999998</v>
      </c>
      <c r="J623" s="233">
        <v>0</v>
      </c>
      <c r="K623" s="233">
        <f>(((340)*1000)/1000000)</f>
        <v>0.34</v>
      </c>
      <c r="L623" s="233">
        <f>+H623*(8.5/100)</f>
        <v>6.0626372399999999</v>
      </c>
      <c r="M623" s="237">
        <v>0</v>
      </c>
      <c r="N623" s="233">
        <f>(((5777)*1000)/1000000)</f>
        <v>5.7770000000000001</v>
      </c>
      <c r="O623" s="233">
        <f t="shared" si="105"/>
        <v>6.4192629600000002</v>
      </c>
      <c r="P623" s="233">
        <f t="shared" si="98"/>
        <v>6.117</v>
      </c>
      <c r="Q623" s="233">
        <f t="shared" si="97"/>
        <v>0.30226296000000019</v>
      </c>
      <c r="R623" s="217" t="s">
        <v>19</v>
      </c>
      <c r="S623" s="216" t="s">
        <v>1106</v>
      </c>
      <c r="T623" s="243" t="s">
        <v>282</v>
      </c>
      <c r="U623" s="243" t="s">
        <v>283</v>
      </c>
      <c r="V623" s="243"/>
      <c r="W623" s="244"/>
      <c r="X623" s="244"/>
      <c r="Y623" s="244"/>
      <c r="Z623" s="244"/>
      <c r="AA623" s="244"/>
      <c r="AB623" s="244"/>
      <c r="AC623" s="244"/>
      <c r="AD623" s="244"/>
    </row>
    <row r="624" spans="1:30" s="245" customFormat="1" ht="86.45" customHeight="1" x14ac:dyDescent="0.75">
      <c r="A624" s="331"/>
      <c r="B624" s="325"/>
      <c r="C624" s="331"/>
      <c r="D624" s="349"/>
      <c r="E624" s="349"/>
      <c r="F624" s="216" t="s">
        <v>21</v>
      </c>
      <c r="G624" s="216">
        <v>9</v>
      </c>
      <c r="H624" s="233">
        <v>60.493673999999999</v>
      </c>
      <c r="I624" s="233">
        <f>+H624*0.01</f>
        <v>0.60493673999999997</v>
      </c>
      <c r="J624" s="233">
        <v>0</v>
      </c>
      <c r="K624" s="233">
        <f>((353+225)*1000)/1000000</f>
        <v>0.57799999999999996</v>
      </c>
      <c r="L624" s="233">
        <f>+H624*(10/100)</f>
        <v>6.0493674000000004</v>
      </c>
      <c r="M624" s="237">
        <v>0</v>
      </c>
      <c r="N624" s="233">
        <f>((3530+2246)*1000)/1000000</f>
        <v>5.7759999999999998</v>
      </c>
      <c r="O624" s="233">
        <f>+I624+L624</f>
        <v>6.6543041400000007</v>
      </c>
      <c r="P624" s="233">
        <f>+((J624+K624)+(M624+N624))</f>
        <v>6.3540000000000001</v>
      </c>
      <c r="Q624" s="233">
        <f>+O624-P624</f>
        <v>0.30030414000000061</v>
      </c>
      <c r="R624" s="217" t="s">
        <v>284</v>
      </c>
      <c r="S624" s="216" t="s">
        <v>1107</v>
      </c>
      <c r="T624" s="243" t="s">
        <v>282</v>
      </c>
      <c r="U624" s="243" t="s">
        <v>283</v>
      </c>
      <c r="V624" s="243"/>
      <c r="W624" s="244"/>
      <c r="X624" s="244"/>
      <c r="Y624" s="244"/>
      <c r="Z624" s="244"/>
      <c r="AA624" s="244"/>
      <c r="AB624" s="244"/>
      <c r="AC624" s="244"/>
      <c r="AD624" s="244"/>
    </row>
    <row r="625" spans="1:30" s="245" customFormat="1" ht="86.45" customHeight="1" x14ac:dyDescent="0.7">
      <c r="A625" s="331"/>
      <c r="B625" s="325"/>
      <c r="C625" s="331"/>
      <c r="D625" s="349"/>
      <c r="E625" s="349"/>
      <c r="F625" s="216" t="s">
        <v>22</v>
      </c>
      <c r="G625" s="216">
        <v>9</v>
      </c>
      <c r="H625" s="233">
        <f>48228935/1000000</f>
        <v>48.228935</v>
      </c>
      <c r="I625" s="233">
        <f>+H625*0.02</f>
        <v>0.96457870000000001</v>
      </c>
      <c r="J625" s="233">
        <v>0</v>
      </c>
      <c r="K625" s="233">
        <f>(923*1000)/1000000</f>
        <v>0.92300000000000004</v>
      </c>
      <c r="L625" s="233">
        <f>+H625*(10.5/100)</f>
        <v>5.0640381749999994</v>
      </c>
      <c r="M625" s="237">
        <v>0</v>
      </c>
      <c r="N625" s="233">
        <f>((4464+381)*1000)/1000000</f>
        <v>4.8449999999999998</v>
      </c>
      <c r="O625" s="233">
        <f>+I625+L625</f>
        <v>6.0286168749999991</v>
      </c>
      <c r="P625" s="233">
        <f>+((J625+K625)+(M625+N625))</f>
        <v>5.7679999999999998</v>
      </c>
      <c r="Q625" s="233">
        <f>+O625-P625</f>
        <v>0.2606168749999993</v>
      </c>
      <c r="R625" s="216" t="s">
        <v>19</v>
      </c>
      <c r="S625" s="216" t="s">
        <v>146</v>
      </c>
      <c r="T625" s="243" t="s">
        <v>282</v>
      </c>
      <c r="U625" s="243" t="s">
        <v>283</v>
      </c>
      <c r="V625" s="243"/>
    </row>
    <row r="626" spans="1:30" s="245" customFormat="1" ht="86.45" customHeight="1" x14ac:dyDescent="0.7">
      <c r="A626" s="331"/>
      <c r="B626" s="325"/>
      <c r="C626" s="331"/>
      <c r="D626" s="349"/>
      <c r="E626" s="349"/>
      <c r="F626" s="216" t="s">
        <v>24</v>
      </c>
      <c r="G626" s="216">
        <v>9</v>
      </c>
      <c r="H626" s="233">
        <v>64.496924000000007</v>
      </c>
      <c r="I626" s="233">
        <f>+H626*(2.75/100)</f>
        <v>1.7736654100000002</v>
      </c>
      <c r="J626" s="233">
        <v>0</v>
      </c>
      <c r="K626" s="233">
        <f>((813+861+27)*1000)/1000000</f>
        <v>1.7010000000000001</v>
      </c>
      <c r="L626" s="233">
        <f>+H626*(11/100)</f>
        <v>7.0946616400000009</v>
      </c>
      <c r="M626" s="237">
        <v>0</v>
      </c>
      <c r="N626" s="233">
        <f>((3252+3442+110)*1000)/1000000</f>
        <v>6.8040000000000003</v>
      </c>
      <c r="O626" s="233">
        <f>+I626+L626</f>
        <v>8.8683270500000013</v>
      </c>
      <c r="P626" s="233">
        <f>+((J626+K626)+(M626+N626))</f>
        <v>8.5050000000000008</v>
      </c>
      <c r="Q626" s="233">
        <f>+O626-P626</f>
        <v>0.36332705000000054</v>
      </c>
      <c r="R626" s="217" t="s">
        <v>497</v>
      </c>
      <c r="S626" s="216" t="s">
        <v>147</v>
      </c>
      <c r="T626" s="243" t="s">
        <v>282</v>
      </c>
      <c r="U626" s="243" t="s">
        <v>283</v>
      </c>
      <c r="V626" s="243"/>
    </row>
    <row r="627" spans="1:30" s="245" customFormat="1" ht="86.45" customHeight="1" x14ac:dyDescent="0.7">
      <c r="A627" s="331"/>
      <c r="B627" s="325"/>
      <c r="C627" s="331"/>
      <c r="D627" s="349"/>
      <c r="E627" s="348"/>
      <c r="F627" s="223" t="s">
        <v>27</v>
      </c>
      <c r="G627" s="223">
        <v>9</v>
      </c>
      <c r="H627" s="234">
        <v>65.814732000000006</v>
      </c>
      <c r="I627" s="234">
        <f>+H627*(3.5/100)</f>
        <v>2.3035156200000007</v>
      </c>
      <c r="J627" s="234">
        <v>0</v>
      </c>
      <c r="K627" s="234">
        <f>((0)*1000)/1000000</f>
        <v>0</v>
      </c>
      <c r="L627" s="234">
        <f>+H627*(11.5/100)</f>
        <v>7.5686941800000014</v>
      </c>
      <c r="M627" s="238">
        <v>0</v>
      </c>
      <c r="N627" s="234">
        <f>((0)*1000)/1000000</f>
        <v>0</v>
      </c>
      <c r="O627" s="234">
        <f>+I627+L627</f>
        <v>9.872209800000002</v>
      </c>
      <c r="P627" s="234">
        <f>+((J627+K627)+(M627+N627))</f>
        <v>0</v>
      </c>
      <c r="Q627" s="234">
        <f>+O627-P627</f>
        <v>9.872209800000002</v>
      </c>
      <c r="R627" s="271" t="s">
        <v>496</v>
      </c>
      <c r="S627" s="223" t="s">
        <v>145</v>
      </c>
      <c r="T627" s="243" t="s">
        <v>282</v>
      </c>
      <c r="U627" s="243" t="s">
        <v>283</v>
      </c>
      <c r="V627" s="243"/>
    </row>
    <row r="628" spans="1:30" s="245" customFormat="1" ht="86.45" customHeight="1" x14ac:dyDescent="0.7">
      <c r="A628" s="331"/>
      <c r="B628" s="325"/>
      <c r="C628" s="331"/>
      <c r="D628" s="349"/>
      <c r="E628" s="350" t="s">
        <v>1388</v>
      </c>
      <c r="F628" s="254" t="s">
        <v>18</v>
      </c>
      <c r="G628" s="265">
        <v>9</v>
      </c>
      <c r="H628" s="266">
        <v>49.085999999999999</v>
      </c>
      <c r="I628" s="266">
        <v>0.245</v>
      </c>
      <c r="J628" s="266">
        <v>0</v>
      </c>
      <c r="K628" s="266">
        <v>0.246</v>
      </c>
      <c r="L628" s="266">
        <v>4.1719999999999997</v>
      </c>
      <c r="M628" s="267">
        <v>5.9740000000000002</v>
      </c>
      <c r="N628" s="266">
        <v>0</v>
      </c>
      <c r="O628" s="266">
        <v>4.4180000000000001</v>
      </c>
      <c r="P628" s="266">
        <v>6.22</v>
      </c>
      <c r="Q628" s="266">
        <f t="shared" ref="Q628:Q632" si="106">+O628-P628</f>
        <v>-1.8019999999999996</v>
      </c>
      <c r="R628" s="270"/>
      <c r="S628" s="265"/>
      <c r="T628" s="243"/>
      <c r="U628" s="243"/>
      <c r="V628" s="243"/>
    </row>
    <row r="629" spans="1:30" s="245" customFormat="1" ht="86.45" customHeight="1" x14ac:dyDescent="0.7">
      <c r="A629" s="331"/>
      <c r="B629" s="325"/>
      <c r="C629" s="331"/>
      <c r="D629" s="349"/>
      <c r="E629" s="351"/>
      <c r="F629" s="254" t="s">
        <v>20</v>
      </c>
      <c r="G629" s="265">
        <v>9</v>
      </c>
      <c r="H629" s="266">
        <v>67.962999999999994</v>
      </c>
      <c r="I629" s="266">
        <v>0.34</v>
      </c>
      <c r="J629" s="266">
        <v>0</v>
      </c>
      <c r="K629" s="266">
        <v>0.34</v>
      </c>
      <c r="L629" s="266">
        <v>5.7770000000000001</v>
      </c>
      <c r="M629" s="267">
        <v>0</v>
      </c>
      <c r="N629" s="266">
        <v>5.7770000000000001</v>
      </c>
      <c r="O629" s="266">
        <v>6.117</v>
      </c>
      <c r="P629" s="266">
        <v>6.117</v>
      </c>
      <c r="Q629" s="266">
        <f t="shared" si="106"/>
        <v>0</v>
      </c>
      <c r="R629" s="270"/>
      <c r="S629" s="265"/>
      <c r="T629" s="243"/>
      <c r="U629" s="243"/>
      <c r="V629" s="243"/>
    </row>
    <row r="630" spans="1:30" s="245" customFormat="1" ht="86.45" customHeight="1" x14ac:dyDescent="0.7">
      <c r="A630" s="331"/>
      <c r="B630" s="325"/>
      <c r="C630" s="331"/>
      <c r="D630" s="349"/>
      <c r="E630" s="351"/>
      <c r="F630" s="254" t="s">
        <v>21</v>
      </c>
      <c r="G630" s="265">
        <v>9</v>
      </c>
      <c r="H630" s="266">
        <v>57.756999999999998</v>
      </c>
      <c r="I630" s="266">
        <v>0.57799999999999996</v>
      </c>
      <c r="J630" s="266">
        <v>0</v>
      </c>
      <c r="K630" s="266">
        <v>0.57799999999999996</v>
      </c>
      <c r="L630" s="266">
        <v>5.7759999999999998</v>
      </c>
      <c r="M630" s="267">
        <v>0</v>
      </c>
      <c r="N630" s="266">
        <v>5.7759999999999998</v>
      </c>
      <c r="O630" s="266">
        <v>6.3529999999999998</v>
      </c>
      <c r="P630" s="266">
        <v>6.3540000000000001</v>
      </c>
      <c r="Q630" s="266">
        <f t="shared" si="106"/>
        <v>-1.000000000000334E-3</v>
      </c>
      <c r="R630" s="270"/>
      <c r="S630" s="265"/>
      <c r="T630" s="243"/>
      <c r="U630" s="243"/>
      <c r="V630" s="243"/>
    </row>
    <row r="631" spans="1:30" s="245" customFormat="1" ht="86.45" customHeight="1" x14ac:dyDescent="0.7">
      <c r="A631" s="331"/>
      <c r="B631" s="325"/>
      <c r="C631" s="331"/>
      <c r="D631" s="349"/>
      <c r="E631" s="351"/>
      <c r="F631" s="254" t="s">
        <v>22</v>
      </c>
      <c r="G631" s="265">
        <v>9</v>
      </c>
      <c r="H631" s="266">
        <v>46.134999999999998</v>
      </c>
      <c r="I631" s="266">
        <v>0.92300000000000004</v>
      </c>
      <c r="J631" s="266">
        <v>0</v>
      </c>
      <c r="K631" s="266">
        <v>0.92300000000000004</v>
      </c>
      <c r="L631" s="266">
        <v>4.8440000000000003</v>
      </c>
      <c r="M631" s="267">
        <v>0</v>
      </c>
      <c r="N631" s="266">
        <v>4.8449999999999998</v>
      </c>
      <c r="O631" s="266">
        <v>5.7670000000000003</v>
      </c>
      <c r="P631" s="266">
        <v>5.7679999999999998</v>
      </c>
      <c r="Q631" s="266">
        <f t="shared" si="106"/>
        <v>-9.9999999999944578E-4</v>
      </c>
      <c r="R631" s="270"/>
      <c r="S631" s="265"/>
      <c r="T631" s="243"/>
      <c r="U631" s="243"/>
      <c r="V631" s="243"/>
    </row>
    <row r="632" spans="1:30" s="245" customFormat="1" ht="86.45" customHeight="1" x14ac:dyDescent="0.7">
      <c r="A632" s="331"/>
      <c r="B632" s="325"/>
      <c r="C632" s="331"/>
      <c r="D632" s="349"/>
      <c r="E632" s="351"/>
      <c r="F632" s="254" t="s">
        <v>24</v>
      </c>
      <c r="G632" s="265">
        <v>9</v>
      </c>
      <c r="H632" s="266">
        <v>61.85</v>
      </c>
      <c r="I632" s="266">
        <v>1.7010000000000001</v>
      </c>
      <c r="J632" s="266">
        <v>0</v>
      </c>
      <c r="K632" s="266">
        <v>1.7010000000000001</v>
      </c>
      <c r="L632" s="266">
        <v>6.8040000000000003</v>
      </c>
      <c r="M632" s="267">
        <v>0</v>
      </c>
      <c r="N632" s="266">
        <v>6.8049999999999997</v>
      </c>
      <c r="O632" s="266">
        <v>8.5039999999999996</v>
      </c>
      <c r="P632" s="266">
        <v>8.5050000000000008</v>
      </c>
      <c r="Q632" s="266">
        <f t="shared" si="106"/>
        <v>-1.0000000000012221E-3</v>
      </c>
      <c r="R632" s="270"/>
      <c r="S632" s="265"/>
      <c r="T632" s="243"/>
      <c r="U632" s="243"/>
      <c r="V632" s="243"/>
    </row>
    <row r="633" spans="1:30" s="245" customFormat="1" ht="86.45" customHeight="1" x14ac:dyDescent="0.7">
      <c r="A633" s="332"/>
      <c r="B633" s="326"/>
      <c r="C633" s="332"/>
      <c r="D633" s="348"/>
      <c r="E633" s="352"/>
      <c r="F633" s="265" t="s">
        <v>27</v>
      </c>
      <c r="G633" s="265">
        <v>9</v>
      </c>
      <c r="H633" s="266">
        <v>62.439</v>
      </c>
      <c r="I633" s="266">
        <v>0.312</v>
      </c>
      <c r="J633" s="266">
        <v>0</v>
      </c>
      <c r="K633" s="266">
        <v>0.314</v>
      </c>
      <c r="L633" s="266">
        <v>5.3070000000000004</v>
      </c>
      <c r="M633" s="267">
        <v>0</v>
      </c>
      <c r="N633" s="266">
        <v>5.3460000000000001</v>
      </c>
      <c r="O633" s="266">
        <v>5.62</v>
      </c>
      <c r="P633" s="266">
        <v>5.66</v>
      </c>
      <c r="Q633" s="266">
        <v>-0.04</v>
      </c>
      <c r="R633" s="270"/>
      <c r="S633" s="265"/>
      <c r="T633" s="243"/>
      <c r="U633" s="243"/>
      <c r="V633" s="243"/>
    </row>
    <row r="634" spans="1:30" s="14" customFormat="1" ht="86.45" customHeight="1" x14ac:dyDescent="0.75">
      <c r="A634" s="330">
        <v>238</v>
      </c>
      <c r="B634" s="324" t="s">
        <v>879</v>
      </c>
      <c r="C634" s="330" t="s">
        <v>511</v>
      </c>
      <c r="D634" s="347">
        <v>28619033260</v>
      </c>
      <c r="E634" s="347" t="s">
        <v>1298</v>
      </c>
      <c r="F634" s="216" t="s">
        <v>18</v>
      </c>
      <c r="G634" s="216">
        <v>2</v>
      </c>
      <c r="H634" s="233">
        <v>10.630272</v>
      </c>
      <c r="I634" s="233">
        <f>+H634*0.005</f>
        <v>5.3151360000000002E-2</v>
      </c>
      <c r="J634" s="233">
        <v>0</v>
      </c>
      <c r="K634" s="233">
        <f>(4+3+4+2+4+6+4+4+4+4+5)/1000</f>
        <v>4.3999999999999997E-2</v>
      </c>
      <c r="L634" s="233">
        <f>+H634*(8.5/100)</f>
        <v>0.90357312000000001</v>
      </c>
      <c r="M634" s="237">
        <v>0</v>
      </c>
      <c r="N634" s="233">
        <f>(64+62+56+50+57+116+59+61+81+63+78)/1000</f>
        <v>0.747</v>
      </c>
      <c r="O634" s="233">
        <f>+I634+L634</f>
        <v>0.95672447999999999</v>
      </c>
      <c r="P634" s="233">
        <f>+((J634+K634)+(M634+N634))</f>
        <v>0.79100000000000004</v>
      </c>
      <c r="Q634" s="233">
        <f>+O634-P634</f>
        <v>0.16572447999999995</v>
      </c>
      <c r="R634" s="217" t="s">
        <v>284</v>
      </c>
      <c r="S634" s="216" t="s">
        <v>1108</v>
      </c>
      <c r="T634" s="222" t="s">
        <v>282</v>
      </c>
      <c r="U634" s="222" t="s">
        <v>283</v>
      </c>
      <c r="V634" s="222"/>
      <c r="W634" s="15"/>
      <c r="X634" s="15"/>
      <c r="Y634" s="15"/>
      <c r="Z634" s="15"/>
      <c r="AA634" s="15"/>
      <c r="AB634" s="15"/>
      <c r="AC634" s="15"/>
      <c r="AD634" s="15"/>
    </row>
    <row r="635" spans="1:30" s="14" customFormat="1" ht="86.45" customHeight="1" x14ac:dyDescent="0.75">
      <c r="A635" s="331"/>
      <c r="B635" s="325"/>
      <c r="C635" s="331"/>
      <c r="D635" s="349"/>
      <c r="E635" s="348"/>
      <c r="F635" s="216" t="s">
        <v>20</v>
      </c>
      <c r="G635" s="216">
        <v>1.6</v>
      </c>
      <c r="H635" s="233">
        <v>15.763693</v>
      </c>
      <c r="I635" s="233">
        <f t="shared" ref="I635:I644" si="107">+H635*0.005</f>
        <v>7.8818465000000004E-2</v>
      </c>
      <c r="J635" s="233">
        <v>0</v>
      </c>
      <c r="K635" s="233">
        <v>0</v>
      </c>
      <c r="L635" s="233">
        <f t="shared" ref="L635:L644" si="108">+H635*(8.5/100)</f>
        <v>1.3399139050000002</v>
      </c>
      <c r="M635" s="237">
        <v>0</v>
      </c>
      <c r="N635" s="233">
        <v>0</v>
      </c>
      <c r="O635" s="233">
        <f t="shared" si="105"/>
        <v>1.4187323700000003</v>
      </c>
      <c r="P635" s="233">
        <f t="shared" si="98"/>
        <v>0</v>
      </c>
      <c r="Q635" s="233">
        <f t="shared" si="97"/>
        <v>1.4187323700000003</v>
      </c>
      <c r="R635" s="217" t="s">
        <v>19</v>
      </c>
      <c r="S635" s="216" t="s">
        <v>449</v>
      </c>
      <c r="T635" s="222" t="s">
        <v>344</v>
      </c>
      <c r="U635" s="222"/>
      <c r="V635" s="222"/>
      <c r="W635" s="15"/>
      <c r="X635" s="15"/>
      <c r="Y635" s="15"/>
      <c r="Z635" s="15"/>
      <c r="AA635" s="15"/>
      <c r="AB635" s="15"/>
      <c r="AC635" s="15"/>
      <c r="AD635" s="15"/>
    </row>
    <row r="636" spans="1:30" s="14" customFormat="1" ht="86.45" customHeight="1" x14ac:dyDescent="0.75">
      <c r="A636" s="331"/>
      <c r="B636" s="325"/>
      <c r="C636" s="331"/>
      <c r="D636" s="349"/>
      <c r="E636" s="350" t="s">
        <v>1391</v>
      </c>
      <c r="F636" s="254" t="s">
        <v>18</v>
      </c>
      <c r="G636" s="254">
        <v>4.95</v>
      </c>
      <c r="H636" s="255">
        <v>8.7798649999999991</v>
      </c>
      <c r="I636" s="255">
        <v>4.3899300000000002E-2</v>
      </c>
      <c r="J636" s="255">
        <v>0</v>
      </c>
      <c r="K636" s="255">
        <v>4.3999999999999997E-2</v>
      </c>
      <c r="L636" s="255">
        <v>0.74628899999999998</v>
      </c>
      <c r="M636" s="256">
        <v>0</v>
      </c>
      <c r="N636" s="255">
        <v>0.747</v>
      </c>
      <c r="O636" s="255">
        <v>0.790188</v>
      </c>
      <c r="P636" s="255">
        <v>0.79100000000000004</v>
      </c>
      <c r="Q636" s="255">
        <v>-8.0000000000000004E-4</v>
      </c>
      <c r="R636" s="258"/>
      <c r="S636" s="254"/>
      <c r="T636" s="222"/>
      <c r="U636" s="222"/>
      <c r="V636" s="222"/>
      <c r="W636" s="15"/>
      <c r="X636" s="15"/>
      <c r="Y636" s="15"/>
      <c r="Z636" s="15"/>
      <c r="AA636" s="15"/>
      <c r="AB636" s="15"/>
      <c r="AC636" s="15"/>
      <c r="AD636" s="15"/>
    </row>
    <row r="637" spans="1:30" s="14" customFormat="1" ht="86.45" customHeight="1" x14ac:dyDescent="0.75">
      <c r="A637" s="332"/>
      <c r="B637" s="326"/>
      <c r="C637" s="332"/>
      <c r="D637" s="348"/>
      <c r="E637" s="352"/>
      <c r="F637" s="254" t="s">
        <v>20</v>
      </c>
      <c r="G637" s="254">
        <v>4.95</v>
      </c>
      <c r="H637" s="255">
        <v>13.185</v>
      </c>
      <c r="I637" s="255">
        <v>6.59E-2</v>
      </c>
      <c r="J637" s="255">
        <v>0</v>
      </c>
      <c r="K637" s="255">
        <v>6.6000000000000003E-2</v>
      </c>
      <c r="L637" s="255">
        <v>1.1207</v>
      </c>
      <c r="M637" s="256">
        <v>0</v>
      </c>
      <c r="N637" s="255">
        <v>1.121</v>
      </c>
      <c r="O637" s="255">
        <v>1.1870000000000001</v>
      </c>
      <c r="P637" s="255">
        <v>1.1870000000000001</v>
      </c>
      <c r="Q637" s="255">
        <v>0</v>
      </c>
      <c r="R637" s="258"/>
      <c r="S637" s="254"/>
      <c r="T637" s="222"/>
      <c r="U637" s="222"/>
      <c r="V637" s="222"/>
      <c r="W637" s="15"/>
      <c r="X637" s="15"/>
      <c r="Y637" s="15"/>
      <c r="Z637" s="15"/>
      <c r="AA637" s="15"/>
      <c r="AB637" s="15"/>
      <c r="AC637" s="15"/>
      <c r="AD637" s="15"/>
    </row>
    <row r="638" spans="1:30" s="14" customFormat="1" ht="86.45" customHeight="1" x14ac:dyDescent="0.75">
      <c r="A638" s="330">
        <v>239</v>
      </c>
      <c r="B638" s="324" t="s">
        <v>906</v>
      </c>
      <c r="C638" s="330" t="s">
        <v>511</v>
      </c>
      <c r="D638" s="347">
        <v>28619009276</v>
      </c>
      <c r="E638" s="347" t="s">
        <v>1298</v>
      </c>
      <c r="F638" s="216" t="s">
        <v>18</v>
      </c>
      <c r="G638" s="216">
        <v>2</v>
      </c>
      <c r="H638" s="233">
        <v>17.314944000000001</v>
      </c>
      <c r="I638" s="233">
        <f t="shared" si="107"/>
        <v>8.6574720000000008E-2</v>
      </c>
      <c r="J638" s="233">
        <v>0</v>
      </c>
      <c r="K638" s="233">
        <f>(7+6+5+5+5+14+7+6+7+6+5)*1000/1000000</f>
        <v>7.2999999999999995E-2</v>
      </c>
      <c r="L638" s="233">
        <f t="shared" si="108"/>
        <v>1.4717702400000001</v>
      </c>
      <c r="M638" s="237">
        <v>0</v>
      </c>
      <c r="N638" s="233">
        <f>(91+119+100+94+124+229+99+73+102+100+110)*1000/1000000</f>
        <v>1.2410000000000001</v>
      </c>
      <c r="O638" s="233">
        <f t="shared" si="105"/>
        <v>1.5583449600000001</v>
      </c>
      <c r="P638" s="233">
        <f t="shared" si="98"/>
        <v>1.3140000000000001</v>
      </c>
      <c r="Q638" s="233">
        <f t="shared" si="97"/>
        <v>0.24434496000000006</v>
      </c>
      <c r="R638" s="217" t="s">
        <v>277</v>
      </c>
      <c r="S638" s="216" t="s">
        <v>1109</v>
      </c>
      <c r="T638" s="222" t="s">
        <v>282</v>
      </c>
      <c r="U638" s="222" t="s">
        <v>283</v>
      </c>
      <c r="V638" s="222"/>
      <c r="W638" s="15"/>
      <c r="X638" s="15"/>
      <c r="Y638" s="15"/>
      <c r="Z638" s="15"/>
      <c r="AA638" s="15"/>
      <c r="AB638" s="15"/>
      <c r="AC638" s="15"/>
      <c r="AD638" s="15"/>
    </row>
    <row r="639" spans="1:30" s="14" customFormat="1" ht="86.45" customHeight="1" x14ac:dyDescent="0.75">
      <c r="A639" s="331"/>
      <c r="B639" s="325"/>
      <c r="C639" s="331"/>
      <c r="D639" s="349"/>
      <c r="E639" s="348"/>
      <c r="F639" s="216" t="s">
        <v>20</v>
      </c>
      <c r="G639" s="216">
        <v>2</v>
      </c>
      <c r="H639" s="233">
        <v>17.963927999999999</v>
      </c>
      <c r="I639" s="233">
        <f t="shared" si="107"/>
        <v>8.9819639999999992E-2</v>
      </c>
      <c r="J639" s="233">
        <v>0</v>
      </c>
      <c r="K639" s="233">
        <v>0</v>
      </c>
      <c r="L639" s="233">
        <f t="shared" si="108"/>
        <v>1.5269338800000001</v>
      </c>
      <c r="M639" s="237">
        <v>0</v>
      </c>
      <c r="N639" s="233">
        <v>0</v>
      </c>
      <c r="O639" s="233">
        <f t="shared" si="105"/>
        <v>1.6167535200000001</v>
      </c>
      <c r="P639" s="233">
        <f t="shared" si="98"/>
        <v>0</v>
      </c>
      <c r="Q639" s="233">
        <f t="shared" si="97"/>
        <v>1.6167535200000001</v>
      </c>
      <c r="R639" s="217" t="s">
        <v>19</v>
      </c>
      <c r="S639" s="216" t="s">
        <v>450</v>
      </c>
      <c r="T639" s="222" t="s">
        <v>344</v>
      </c>
      <c r="U639" s="222"/>
      <c r="V639" s="222"/>
      <c r="W639" s="15"/>
      <c r="X639" s="15"/>
      <c r="Y639" s="15"/>
      <c r="Z639" s="15"/>
      <c r="AA639" s="15"/>
      <c r="AB639" s="15"/>
      <c r="AC639" s="15"/>
      <c r="AD639" s="15"/>
    </row>
    <row r="640" spans="1:30" s="14" customFormat="1" ht="86.45" customHeight="1" x14ac:dyDescent="0.75">
      <c r="A640" s="331"/>
      <c r="B640" s="325"/>
      <c r="C640" s="331"/>
      <c r="D640" s="349"/>
      <c r="E640" s="350" t="s">
        <v>1391</v>
      </c>
      <c r="F640" s="254" t="s">
        <v>18</v>
      </c>
      <c r="G640" s="254">
        <v>4.95</v>
      </c>
      <c r="H640" s="255">
        <v>14.597</v>
      </c>
      <c r="I640" s="255">
        <f t="shared" si="107"/>
        <v>7.2984999999999994E-2</v>
      </c>
      <c r="J640" s="255">
        <v>0</v>
      </c>
      <c r="K640" s="255">
        <v>7.2999999999999995E-2</v>
      </c>
      <c r="L640" s="255">
        <f t="shared" si="108"/>
        <v>1.240745</v>
      </c>
      <c r="M640" s="256">
        <v>0</v>
      </c>
      <c r="N640" s="255">
        <v>1.2410000000000001</v>
      </c>
      <c r="O640" s="255">
        <f t="shared" si="105"/>
        <v>1.3137300000000001</v>
      </c>
      <c r="P640" s="255">
        <f t="shared" si="98"/>
        <v>1.3140000000000001</v>
      </c>
      <c r="Q640" s="255">
        <f t="shared" si="97"/>
        <v>-2.6999999999999247E-4</v>
      </c>
      <c r="R640" s="258"/>
      <c r="S640" s="254"/>
      <c r="T640" s="222"/>
      <c r="U640" s="222"/>
      <c r="V640" s="222"/>
      <c r="W640" s="15"/>
      <c r="X640" s="15"/>
      <c r="Y640" s="15"/>
      <c r="Z640" s="15"/>
      <c r="AA640" s="15"/>
      <c r="AB640" s="15"/>
      <c r="AC640" s="15"/>
      <c r="AD640" s="15"/>
    </row>
    <row r="641" spans="1:30" s="14" customFormat="1" ht="86.45" customHeight="1" x14ac:dyDescent="0.75">
      <c r="A641" s="332"/>
      <c r="B641" s="326"/>
      <c r="C641" s="332"/>
      <c r="D641" s="348"/>
      <c r="E641" s="352"/>
      <c r="F641" s="254" t="s">
        <v>20</v>
      </c>
      <c r="G641" s="254">
        <v>4.95</v>
      </c>
      <c r="H641" s="255">
        <v>15.000999999999999</v>
      </c>
      <c r="I641" s="255">
        <f t="shared" si="107"/>
        <v>7.5005000000000002E-2</v>
      </c>
      <c r="J641" s="255">
        <v>0</v>
      </c>
      <c r="K641" s="255">
        <v>7.5999999999999998E-2</v>
      </c>
      <c r="L641" s="255">
        <f t="shared" si="108"/>
        <v>1.275085</v>
      </c>
      <c r="M641" s="256">
        <v>0</v>
      </c>
      <c r="N641" s="255">
        <v>1.276</v>
      </c>
      <c r="O641" s="255">
        <f t="shared" si="105"/>
        <v>1.35009</v>
      </c>
      <c r="P641" s="255">
        <f t="shared" si="98"/>
        <v>1.3520000000000001</v>
      </c>
      <c r="Q641" s="255">
        <f t="shared" si="97"/>
        <v>-1.9100000000000783E-3</v>
      </c>
      <c r="R641" s="258"/>
      <c r="S641" s="254"/>
      <c r="T641" s="222"/>
      <c r="U641" s="222"/>
      <c r="V641" s="222"/>
      <c r="W641" s="15"/>
      <c r="X641" s="15"/>
      <c r="Y641" s="15"/>
      <c r="Z641" s="15"/>
      <c r="AA641" s="15"/>
      <c r="AB641" s="15"/>
      <c r="AC641" s="15"/>
      <c r="AD641" s="15"/>
    </row>
    <row r="642" spans="1:30" s="14" customFormat="1" ht="86.45" customHeight="1" x14ac:dyDescent="0.75">
      <c r="A642" s="216">
        <v>240</v>
      </c>
      <c r="B642" s="220" t="s">
        <v>880</v>
      </c>
      <c r="C642" s="216" t="s">
        <v>511</v>
      </c>
      <c r="D642" s="221">
        <v>250389304235</v>
      </c>
      <c r="E642" s="221"/>
      <c r="F642" s="216" t="s">
        <v>20</v>
      </c>
      <c r="G642" s="216">
        <v>3.2</v>
      </c>
      <c r="H642" s="233">
        <v>7.786378</v>
      </c>
      <c r="I642" s="233">
        <f t="shared" si="107"/>
        <v>3.8931890000000004E-2</v>
      </c>
      <c r="J642" s="233">
        <v>0</v>
      </c>
      <c r="K642" s="233">
        <f>(35)*1000/1000000</f>
        <v>3.5000000000000003E-2</v>
      </c>
      <c r="L642" s="233">
        <f t="shared" si="108"/>
        <v>0.66184213000000003</v>
      </c>
      <c r="M642" s="237">
        <v>0</v>
      </c>
      <c r="N642" s="233">
        <f>(591+4)*1000/1000000</f>
        <v>0.59499999999999997</v>
      </c>
      <c r="O642" s="233">
        <f t="shared" si="105"/>
        <v>0.70077402</v>
      </c>
      <c r="P642" s="233">
        <f t="shared" si="98"/>
        <v>0.63</v>
      </c>
      <c r="Q642" s="233">
        <f t="shared" si="97"/>
        <v>7.0774019999999993E-2</v>
      </c>
      <c r="R642" s="217" t="s">
        <v>284</v>
      </c>
      <c r="S642" s="216" t="s">
        <v>1110</v>
      </c>
      <c r="T642" s="222" t="s">
        <v>282</v>
      </c>
      <c r="U642" s="222" t="s">
        <v>283</v>
      </c>
      <c r="V642" s="222"/>
      <c r="W642" s="15"/>
      <c r="X642" s="15"/>
      <c r="Y642" s="15"/>
      <c r="Z642" s="15"/>
      <c r="AA642" s="15"/>
      <c r="AB642" s="15"/>
      <c r="AC642" s="15"/>
      <c r="AD642" s="15"/>
    </row>
    <row r="643" spans="1:30" s="14" customFormat="1" ht="86.45" customHeight="1" x14ac:dyDescent="0.75">
      <c r="A643" s="333">
        <v>241</v>
      </c>
      <c r="B643" s="353" t="s">
        <v>881</v>
      </c>
      <c r="C643" s="333" t="s">
        <v>511</v>
      </c>
      <c r="D643" s="354">
        <v>330249002861</v>
      </c>
      <c r="E643" s="221"/>
      <c r="F643" s="216" t="s">
        <v>18</v>
      </c>
      <c r="G643" s="216">
        <v>1</v>
      </c>
      <c r="H643" s="233">
        <v>6.52651</v>
      </c>
      <c r="I643" s="233">
        <f t="shared" si="107"/>
        <v>3.2632550000000003E-2</v>
      </c>
      <c r="J643" s="233">
        <v>0</v>
      </c>
      <c r="K643" s="233">
        <v>0</v>
      </c>
      <c r="L643" s="233">
        <f t="shared" si="108"/>
        <v>0.55475335000000003</v>
      </c>
      <c r="M643" s="237">
        <v>0</v>
      </c>
      <c r="N643" s="233">
        <v>0</v>
      </c>
      <c r="O643" s="233">
        <f t="shared" si="105"/>
        <v>0.58738590000000002</v>
      </c>
      <c r="P643" s="233">
        <f t="shared" si="98"/>
        <v>0</v>
      </c>
      <c r="Q643" s="233">
        <f t="shared" si="97"/>
        <v>0.58738590000000002</v>
      </c>
      <c r="R643" s="217" t="s">
        <v>19</v>
      </c>
      <c r="S643" s="216" t="s">
        <v>346</v>
      </c>
      <c r="T643" s="222" t="s">
        <v>344</v>
      </c>
      <c r="U643" s="222"/>
      <c r="V643" s="222"/>
      <c r="W643" s="15"/>
      <c r="X643" s="15"/>
      <c r="Y643" s="15"/>
      <c r="Z643" s="15"/>
      <c r="AA643" s="15"/>
      <c r="AB643" s="15"/>
      <c r="AC643" s="15"/>
      <c r="AD643" s="15"/>
    </row>
    <row r="644" spans="1:30" s="14" customFormat="1" ht="86.45" customHeight="1" x14ac:dyDescent="0.75">
      <c r="A644" s="333"/>
      <c r="B644" s="353"/>
      <c r="C644" s="333"/>
      <c r="D644" s="354"/>
      <c r="E644" s="221"/>
      <c r="F644" s="216" t="s">
        <v>20</v>
      </c>
      <c r="G644" s="216">
        <v>1.2</v>
      </c>
      <c r="H644" s="233">
        <v>10.970597</v>
      </c>
      <c r="I644" s="233">
        <f t="shared" si="107"/>
        <v>5.4852985E-2</v>
      </c>
      <c r="J644" s="233">
        <v>0</v>
      </c>
      <c r="K644" s="233">
        <f>(10+32+5)*1000/1000000</f>
        <v>4.7E-2</v>
      </c>
      <c r="L644" s="233">
        <f t="shared" si="108"/>
        <v>0.93250074500000002</v>
      </c>
      <c r="M644" s="237">
        <v>0</v>
      </c>
      <c r="N644" s="233">
        <f>(250+476+69)*1000/1000000</f>
        <v>0.79500000000000004</v>
      </c>
      <c r="O644" s="233">
        <f t="shared" si="105"/>
        <v>0.98735373000000004</v>
      </c>
      <c r="P644" s="233">
        <f t="shared" si="98"/>
        <v>0.84200000000000008</v>
      </c>
      <c r="Q644" s="233">
        <f t="shared" si="97"/>
        <v>0.14535372999999996</v>
      </c>
      <c r="R644" s="217" t="s">
        <v>284</v>
      </c>
      <c r="S644" s="216" t="s">
        <v>953</v>
      </c>
      <c r="T644" s="222" t="s">
        <v>282</v>
      </c>
      <c r="U644" s="222" t="s">
        <v>283</v>
      </c>
      <c r="V644" s="222"/>
      <c r="W644" s="15"/>
      <c r="X644" s="15"/>
      <c r="Y644" s="15"/>
      <c r="Z644" s="15"/>
      <c r="AA644" s="15"/>
      <c r="AB644" s="15"/>
      <c r="AC644" s="15"/>
      <c r="AD644" s="15"/>
    </row>
    <row r="645" spans="1:30" s="245" customFormat="1" ht="86.45" customHeight="1" x14ac:dyDescent="0.75">
      <c r="A645" s="330">
        <v>242</v>
      </c>
      <c r="B645" s="324" t="s">
        <v>882</v>
      </c>
      <c r="C645" s="330" t="s">
        <v>511</v>
      </c>
      <c r="D645" s="347">
        <v>52089006996</v>
      </c>
      <c r="E645" s="347" t="s">
        <v>1298</v>
      </c>
      <c r="F645" s="216" t="s">
        <v>20</v>
      </c>
      <c r="G645" s="216">
        <v>15.5</v>
      </c>
      <c r="H645" s="233">
        <v>2.9768240000000001</v>
      </c>
      <c r="I645" s="233">
        <f>+H645*0.005</f>
        <v>1.4884120000000001E-2</v>
      </c>
      <c r="J645" s="233">
        <v>0</v>
      </c>
      <c r="K645" s="233">
        <f>((15)*1000)/1000000</f>
        <v>1.4999999999999999E-2</v>
      </c>
      <c r="L645" s="233">
        <f>+H645*(8.5/100)</f>
        <v>0.25303004000000001</v>
      </c>
      <c r="M645" s="237">
        <v>0</v>
      </c>
      <c r="N645" s="233">
        <f>((241)*1000)/1000000</f>
        <v>0.24099999999999999</v>
      </c>
      <c r="O645" s="233">
        <f t="shared" si="105"/>
        <v>0.26791416000000001</v>
      </c>
      <c r="P645" s="233">
        <f t="shared" si="98"/>
        <v>0.25600000000000001</v>
      </c>
      <c r="Q645" s="233">
        <f t="shared" si="97"/>
        <v>1.1914160000000007E-2</v>
      </c>
      <c r="R645" s="217" t="s">
        <v>284</v>
      </c>
      <c r="S645" s="216" t="s">
        <v>1111</v>
      </c>
      <c r="T645" s="243" t="s">
        <v>282</v>
      </c>
      <c r="U645" s="243" t="s">
        <v>283</v>
      </c>
      <c r="V645" s="243"/>
      <c r="W645" s="244"/>
      <c r="X645" s="244"/>
      <c r="Y645" s="244"/>
      <c r="Z645" s="244"/>
      <c r="AA645" s="244"/>
      <c r="AB645" s="244"/>
      <c r="AC645" s="244"/>
      <c r="AD645" s="244"/>
    </row>
    <row r="646" spans="1:30" s="245" customFormat="1" ht="86.45" customHeight="1" x14ac:dyDescent="0.75">
      <c r="A646" s="331"/>
      <c r="B646" s="325"/>
      <c r="C646" s="331"/>
      <c r="D646" s="349"/>
      <c r="E646" s="348"/>
      <c r="F646" s="216" t="s">
        <v>21</v>
      </c>
      <c r="G646" s="216">
        <v>15.5</v>
      </c>
      <c r="H646" s="233">
        <v>13.720827999999999</v>
      </c>
      <c r="I646" s="233">
        <f>+H646*0.01</f>
        <v>0.13720827999999999</v>
      </c>
      <c r="J646" s="233">
        <v>0</v>
      </c>
      <c r="K646" s="233">
        <f>((44+31)*1000)/1000000</f>
        <v>7.4999999999999997E-2</v>
      </c>
      <c r="L646" s="233">
        <f>+H646*(10/100)</f>
        <v>1.3720828</v>
      </c>
      <c r="M646" s="237">
        <v>0</v>
      </c>
      <c r="N646" s="233">
        <f>((439+306)*1000)/1000000</f>
        <v>0.745</v>
      </c>
      <c r="O646" s="233">
        <f t="shared" si="105"/>
        <v>1.5092910800000001</v>
      </c>
      <c r="P646" s="233">
        <f t="shared" si="98"/>
        <v>0.82</v>
      </c>
      <c r="Q646" s="233">
        <f t="shared" si="97"/>
        <v>0.68929108000000017</v>
      </c>
      <c r="R646" s="217" t="s">
        <v>48</v>
      </c>
      <c r="S646" s="216" t="s">
        <v>1112</v>
      </c>
      <c r="T646" s="243" t="s">
        <v>282</v>
      </c>
      <c r="U646" s="243" t="s">
        <v>283</v>
      </c>
      <c r="V646" s="243"/>
      <c r="W646" s="244"/>
      <c r="X646" s="244"/>
      <c r="Y646" s="244"/>
      <c r="Z646" s="244"/>
      <c r="AA646" s="244"/>
      <c r="AB646" s="244"/>
      <c r="AC646" s="244"/>
      <c r="AD646" s="244"/>
    </row>
    <row r="647" spans="1:30" s="245" customFormat="1" ht="86.45" customHeight="1" x14ac:dyDescent="0.75">
      <c r="A647" s="331"/>
      <c r="B647" s="325"/>
      <c r="C647" s="331"/>
      <c r="D647" s="349"/>
      <c r="E647" s="350" t="s">
        <v>1331</v>
      </c>
      <c r="F647" s="254" t="s">
        <v>20</v>
      </c>
      <c r="G647" s="254">
        <v>15.5</v>
      </c>
      <c r="H647" s="255">
        <v>2.8239999999999998</v>
      </c>
      <c r="I647" s="255">
        <v>1.4E-2</v>
      </c>
      <c r="J647" s="255">
        <v>0</v>
      </c>
      <c r="K647" s="255">
        <v>1.4999999999999999E-2</v>
      </c>
      <c r="L647" s="255">
        <v>0.24</v>
      </c>
      <c r="M647" s="256">
        <v>0</v>
      </c>
      <c r="N647" s="255">
        <v>0.24099999999999999</v>
      </c>
      <c r="O647" s="255">
        <f t="shared" si="105"/>
        <v>0.254</v>
      </c>
      <c r="P647" s="255">
        <v>0.25600000000000001</v>
      </c>
      <c r="Q647" s="255">
        <v>0</v>
      </c>
      <c r="R647" s="258"/>
      <c r="S647" s="254"/>
      <c r="T647" s="243"/>
      <c r="U647" s="243"/>
      <c r="V647" s="243"/>
      <c r="W647" s="244"/>
      <c r="X647" s="244"/>
      <c r="Y647" s="244"/>
      <c r="Z647" s="244"/>
      <c r="AA647" s="244"/>
      <c r="AB647" s="244"/>
      <c r="AC647" s="244"/>
      <c r="AD647" s="244"/>
    </row>
    <row r="648" spans="1:30" s="245" customFormat="1" ht="86.45" customHeight="1" x14ac:dyDescent="0.75">
      <c r="A648" s="332"/>
      <c r="B648" s="326"/>
      <c r="C648" s="332"/>
      <c r="D648" s="348"/>
      <c r="E648" s="352"/>
      <c r="F648" s="254" t="s">
        <v>21</v>
      </c>
      <c r="G648" s="254">
        <v>15.5</v>
      </c>
      <c r="H648" s="255">
        <v>12.545</v>
      </c>
      <c r="I648" s="255">
        <v>0.125</v>
      </c>
      <c r="J648" s="255">
        <v>0</v>
      </c>
      <c r="K648" s="255">
        <v>1.2699999999999999E-2</v>
      </c>
      <c r="L648" s="255">
        <v>0.12540000000000001</v>
      </c>
      <c r="M648" s="256">
        <v>0</v>
      </c>
      <c r="N648" s="255">
        <v>1.256</v>
      </c>
      <c r="O648" s="255">
        <v>1.379</v>
      </c>
      <c r="P648" s="255">
        <v>1.383</v>
      </c>
      <c r="Q648" s="255">
        <v>0</v>
      </c>
      <c r="R648" s="258"/>
      <c r="S648" s="254"/>
      <c r="T648" s="243"/>
      <c r="U648" s="243"/>
      <c r="V648" s="243"/>
      <c r="W648" s="244"/>
      <c r="X648" s="244"/>
      <c r="Y648" s="244"/>
      <c r="Z648" s="244"/>
      <c r="AA648" s="244"/>
      <c r="AB648" s="244"/>
      <c r="AC648" s="244"/>
      <c r="AD648" s="244"/>
    </row>
    <row r="649" spans="1:30" s="14" customFormat="1" ht="86.45" customHeight="1" x14ac:dyDescent="0.75">
      <c r="A649" s="333">
        <v>243</v>
      </c>
      <c r="B649" s="353" t="s">
        <v>751</v>
      </c>
      <c r="C649" s="333" t="s">
        <v>511</v>
      </c>
      <c r="D649" s="354">
        <v>21529050390</v>
      </c>
      <c r="E649" s="221"/>
      <c r="F649" s="216" t="s">
        <v>18</v>
      </c>
      <c r="G649" s="216">
        <v>1.5</v>
      </c>
      <c r="H649" s="233">
        <v>5.531625</v>
      </c>
      <c r="I649" s="233">
        <f>+H649*0.005</f>
        <v>2.7658125000000002E-2</v>
      </c>
      <c r="J649" s="233">
        <v>0</v>
      </c>
      <c r="K649" s="233">
        <v>0</v>
      </c>
      <c r="L649" s="233">
        <f>+H649*(8.5/100)</f>
        <v>0.47018812500000001</v>
      </c>
      <c r="M649" s="237">
        <v>0</v>
      </c>
      <c r="N649" s="233">
        <v>0</v>
      </c>
      <c r="O649" s="233">
        <f t="shared" si="105"/>
        <v>0.49784624999999999</v>
      </c>
      <c r="P649" s="233">
        <f t="shared" si="98"/>
        <v>0</v>
      </c>
      <c r="Q649" s="233">
        <f t="shared" si="97"/>
        <v>0.49784624999999999</v>
      </c>
      <c r="R649" s="217" t="s">
        <v>19</v>
      </c>
      <c r="S649" s="216" t="s">
        <v>34</v>
      </c>
      <c r="T649" s="222" t="s">
        <v>344</v>
      </c>
      <c r="U649" s="222"/>
      <c r="V649" s="222"/>
      <c r="W649" s="15"/>
      <c r="X649" s="15"/>
      <c r="Y649" s="15"/>
      <c r="Z649" s="15"/>
      <c r="AA649" s="15"/>
      <c r="AB649" s="15"/>
      <c r="AC649" s="15"/>
      <c r="AD649" s="15"/>
    </row>
    <row r="650" spans="1:30" s="14" customFormat="1" ht="86.45" customHeight="1" x14ac:dyDescent="0.75">
      <c r="A650" s="333"/>
      <c r="B650" s="353"/>
      <c r="C650" s="333"/>
      <c r="D650" s="354"/>
      <c r="E650" s="221"/>
      <c r="F650" s="216" t="s">
        <v>20</v>
      </c>
      <c r="G650" s="216">
        <v>1.5</v>
      </c>
      <c r="H650" s="233">
        <v>11.816628</v>
      </c>
      <c r="I650" s="233">
        <f>+H650*0.005</f>
        <v>5.9083139999999999E-2</v>
      </c>
      <c r="J650" s="233">
        <v>0</v>
      </c>
      <c r="K650" s="233">
        <v>0</v>
      </c>
      <c r="L650" s="233">
        <f>+H650*(8.5/100)</f>
        <v>1.0044133800000001</v>
      </c>
      <c r="M650" s="237">
        <v>0</v>
      </c>
      <c r="N650" s="233">
        <v>0</v>
      </c>
      <c r="O650" s="233">
        <f t="shared" si="105"/>
        <v>1.0634965200000002</v>
      </c>
      <c r="P650" s="233">
        <f t="shared" si="98"/>
        <v>0</v>
      </c>
      <c r="Q650" s="233">
        <f t="shared" si="97"/>
        <v>1.0634965200000002</v>
      </c>
      <c r="R650" s="217" t="s">
        <v>19</v>
      </c>
      <c r="S650" s="216" t="s">
        <v>447</v>
      </c>
      <c r="T650" s="222" t="s">
        <v>344</v>
      </c>
      <c r="U650" s="222"/>
      <c r="V650" s="222"/>
      <c r="W650" s="15"/>
      <c r="X650" s="15"/>
      <c r="Y650" s="15"/>
      <c r="Z650" s="15"/>
      <c r="AA650" s="15"/>
      <c r="AB650" s="15"/>
      <c r="AC650" s="15"/>
      <c r="AD650" s="15"/>
    </row>
    <row r="651" spans="1:30" s="14" customFormat="1" ht="86.45" customHeight="1" x14ac:dyDescent="0.75">
      <c r="A651" s="333">
        <v>244</v>
      </c>
      <c r="B651" s="353" t="s">
        <v>907</v>
      </c>
      <c r="C651" s="333" t="s">
        <v>511</v>
      </c>
      <c r="D651" s="354">
        <v>410039013420</v>
      </c>
      <c r="E651" s="347" t="s">
        <v>1298</v>
      </c>
      <c r="F651" s="216" t="s">
        <v>21</v>
      </c>
      <c r="G651" s="216">
        <v>7</v>
      </c>
      <c r="H651" s="233">
        <v>12.020799999999999</v>
      </c>
      <c r="I651" s="233">
        <f>+H651*0.01</f>
        <v>0.120208</v>
      </c>
      <c r="J651" s="233">
        <v>0</v>
      </c>
      <c r="K651" s="233">
        <f>((41+12)*1000/1000000)</f>
        <v>5.2999999999999999E-2</v>
      </c>
      <c r="L651" s="233">
        <f>+H651*(10/100)</f>
        <v>1.20208</v>
      </c>
      <c r="M651" s="237">
        <v>0</v>
      </c>
      <c r="N651" s="233">
        <f>((421+113)*1000/1000000)</f>
        <v>0.53400000000000003</v>
      </c>
      <c r="O651" s="233">
        <f t="shared" si="105"/>
        <v>1.3222880000000001</v>
      </c>
      <c r="P651" s="233">
        <f t="shared" si="98"/>
        <v>0.58700000000000008</v>
      </c>
      <c r="Q651" s="233">
        <f t="shared" si="97"/>
        <v>0.73528800000000005</v>
      </c>
      <c r="R651" s="217" t="s">
        <v>19</v>
      </c>
      <c r="S651" s="216" t="s">
        <v>1113</v>
      </c>
      <c r="T651" s="222" t="s">
        <v>282</v>
      </c>
      <c r="U651" s="222" t="s">
        <v>283</v>
      </c>
      <c r="V651" s="222"/>
      <c r="W651" s="15"/>
      <c r="X651" s="15"/>
      <c r="Y651" s="15"/>
      <c r="Z651" s="15"/>
      <c r="AA651" s="15"/>
      <c r="AB651" s="15"/>
      <c r="AC651" s="15"/>
      <c r="AD651" s="15"/>
    </row>
    <row r="652" spans="1:30" s="14" customFormat="1" ht="86.45" customHeight="1" x14ac:dyDescent="0.7">
      <c r="A652" s="333"/>
      <c r="B652" s="353"/>
      <c r="C652" s="333"/>
      <c r="D652" s="354"/>
      <c r="E652" s="349"/>
      <c r="F652" s="216" t="s">
        <v>22</v>
      </c>
      <c r="G652" s="216">
        <v>8.5</v>
      </c>
      <c r="H652" s="233">
        <f>26819065/1000000</f>
        <v>26.819064999999998</v>
      </c>
      <c r="I652" s="233">
        <f>+H652*0.02</f>
        <v>0.53638129999999995</v>
      </c>
      <c r="J652" s="233">
        <v>0</v>
      </c>
      <c r="K652" s="233">
        <f>(57*1000)/1000000</f>
        <v>5.7000000000000002E-2</v>
      </c>
      <c r="L652" s="233">
        <f>+H652*(10.5/100)</f>
        <v>2.8160018249999998</v>
      </c>
      <c r="M652" s="237">
        <v>0</v>
      </c>
      <c r="N652" s="233">
        <f>((1852+573+697)*1000)/1000000</f>
        <v>3.1219999999999999</v>
      </c>
      <c r="O652" s="233">
        <f t="shared" si="105"/>
        <v>3.3523831249999998</v>
      </c>
      <c r="P652" s="233">
        <f>J652+K652+M652+N652</f>
        <v>3.1789999999999998</v>
      </c>
      <c r="Q652" s="233">
        <f t="shared" si="97"/>
        <v>0.17338312499999997</v>
      </c>
      <c r="R652" s="216" t="s">
        <v>284</v>
      </c>
      <c r="S652" s="217" t="s">
        <v>152</v>
      </c>
      <c r="T652" s="222" t="s">
        <v>282</v>
      </c>
      <c r="U652" s="222" t="s">
        <v>283</v>
      </c>
      <c r="V652" s="222"/>
    </row>
    <row r="653" spans="1:30" s="14" customFormat="1" ht="86.45" customHeight="1" x14ac:dyDescent="0.7">
      <c r="A653" s="333"/>
      <c r="B653" s="353"/>
      <c r="C653" s="333"/>
      <c r="D653" s="354"/>
      <c r="E653" s="349"/>
      <c r="F653" s="216" t="s">
        <v>24</v>
      </c>
      <c r="G653" s="223">
        <v>8.5</v>
      </c>
      <c r="H653" s="234">
        <v>27.550726000000001</v>
      </c>
      <c r="I653" s="233">
        <f>+H653*(2.75/100)</f>
        <v>0.757644965</v>
      </c>
      <c r="J653" s="233">
        <v>0</v>
      </c>
      <c r="K653" s="234">
        <f>((51+66+47+47+31+79+46+204)*1000)/1000000</f>
        <v>0.57099999999999995</v>
      </c>
      <c r="L653" s="233">
        <f>+H653*(11/100)</f>
        <v>3.03057986</v>
      </c>
      <c r="M653" s="237">
        <v>0</v>
      </c>
      <c r="N653" s="234">
        <f>((277+191+21+410+190+197+425+543+346)*1000)/1000000</f>
        <v>2.6</v>
      </c>
      <c r="O653" s="233">
        <f t="shared" si="105"/>
        <v>3.7882248249999999</v>
      </c>
      <c r="P653" s="233">
        <f>J653+K653+M653+N653</f>
        <v>3.1710000000000003</v>
      </c>
      <c r="Q653" s="233">
        <f t="shared" si="97"/>
        <v>0.61722482499999964</v>
      </c>
      <c r="R653" s="217" t="s">
        <v>496</v>
      </c>
      <c r="S653" s="217" t="s">
        <v>153</v>
      </c>
      <c r="T653" s="222" t="s">
        <v>282</v>
      </c>
      <c r="U653" s="222" t="s">
        <v>283</v>
      </c>
      <c r="V653" s="222"/>
    </row>
    <row r="654" spans="1:30" s="14" customFormat="1" ht="86.45" customHeight="1" x14ac:dyDescent="0.7">
      <c r="A654" s="333"/>
      <c r="B654" s="353"/>
      <c r="C654" s="333"/>
      <c r="D654" s="354"/>
      <c r="E654" s="348"/>
      <c r="F654" s="216" t="s">
        <v>27</v>
      </c>
      <c r="G654" s="223">
        <v>8.5</v>
      </c>
      <c r="H654" s="234">
        <v>31.624044999999999</v>
      </c>
      <c r="I654" s="234">
        <f>+H654*(3.5/100)</f>
        <v>1.106841575</v>
      </c>
      <c r="J654" s="234">
        <v>1.7000000000000001E-2</v>
      </c>
      <c r="K654" s="234">
        <f>((1+69+20+41)*1000)/1000000</f>
        <v>0.13100000000000001</v>
      </c>
      <c r="L654" s="234">
        <f>+H654*(11.5/100)</f>
        <v>3.6367651749999999</v>
      </c>
      <c r="M654" s="238">
        <v>0</v>
      </c>
      <c r="N654" s="234">
        <f>((37+518+123+818+1152)*1000)/1000000</f>
        <v>2.6480000000000001</v>
      </c>
      <c r="O654" s="234">
        <f t="shared" si="105"/>
        <v>4.7436067499999996</v>
      </c>
      <c r="P654" s="234">
        <f>J654+K654+M654+N654</f>
        <v>2.7960000000000003</v>
      </c>
      <c r="Q654" s="234">
        <f t="shared" si="97"/>
        <v>1.9476067499999994</v>
      </c>
      <c r="R654" s="217" t="s">
        <v>497</v>
      </c>
      <c r="S654" s="217" t="s">
        <v>154</v>
      </c>
      <c r="T654" s="222" t="s">
        <v>282</v>
      </c>
      <c r="U654" s="222" t="s">
        <v>283</v>
      </c>
      <c r="V654" s="222"/>
    </row>
    <row r="655" spans="1:30" s="14" customFormat="1" ht="86.45" customHeight="1" x14ac:dyDescent="0.75">
      <c r="A655" s="216">
        <v>245</v>
      </c>
      <c r="B655" s="220" t="s">
        <v>883</v>
      </c>
      <c r="C655" s="216" t="s">
        <v>511</v>
      </c>
      <c r="D655" s="221">
        <v>210579006174</v>
      </c>
      <c r="E655" s="221"/>
      <c r="F655" s="216" t="s">
        <v>20</v>
      </c>
      <c r="G655" s="216">
        <v>2.8</v>
      </c>
      <c r="H655" s="233">
        <v>8.07</v>
      </c>
      <c r="I655" s="233">
        <f>+H655*0.005</f>
        <v>4.0350000000000004E-2</v>
      </c>
      <c r="J655" s="233">
        <v>0</v>
      </c>
      <c r="K655" s="233">
        <f>(17+4+15)*1000/1000000</f>
        <v>3.5999999999999997E-2</v>
      </c>
      <c r="L655" s="233">
        <f>+H655*(8.5/100)</f>
        <v>0.68595000000000006</v>
      </c>
      <c r="M655" s="237">
        <v>0</v>
      </c>
      <c r="N655" s="233">
        <f>(283+80+245)*1000/1000000</f>
        <v>0.60799999999999998</v>
      </c>
      <c r="O655" s="233">
        <f t="shared" si="105"/>
        <v>0.72630000000000006</v>
      </c>
      <c r="P655" s="233">
        <f>+((J655+K655)+(M655+N655))</f>
        <v>0.64400000000000002</v>
      </c>
      <c r="Q655" s="233">
        <f t="shared" si="97"/>
        <v>8.230000000000004E-2</v>
      </c>
      <c r="R655" s="217" t="s">
        <v>284</v>
      </c>
      <c r="S655" s="216" t="s">
        <v>1114</v>
      </c>
      <c r="T655" s="222" t="s">
        <v>282</v>
      </c>
      <c r="U655" s="222" t="s">
        <v>283</v>
      </c>
      <c r="V655" s="222"/>
      <c r="W655" s="15"/>
      <c r="X655" s="15"/>
      <c r="Y655" s="15"/>
      <c r="Z655" s="15"/>
      <c r="AA655" s="15"/>
      <c r="AB655" s="15"/>
      <c r="AC655" s="15"/>
      <c r="AD655" s="15"/>
    </row>
    <row r="656" spans="1:30" s="14" customFormat="1" ht="86.45" customHeight="1" x14ac:dyDescent="0.75">
      <c r="A656" s="333">
        <v>246</v>
      </c>
      <c r="B656" s="353" t="s">
        <v>884</v>
      </c>
      <c r="C656" s="333" t="s">
        <v>511</v>
      </c>
      <c r="D656" s="354">
        <v>331569004752</v>
      </c>
      <c r="E656" s="221"/>
      <c r="F656" s="216" t="s">
        <v>18</v>
      </c>
      <c r="G656" s="216">
        <v>18</v>
      </c>
      <c r="H656" s="233">
        <v>50.135005999999997</v>
      </c>
      <c r="I656" s="233">
        <f>+H656*0.005</f>
        <v>0.25067502999999997</v>
      </c>
      <c r="J656" s="233">
        <v>0</v>
      </c>
      <c r="K656" s="233">
        <v>0.185</v>
      </c>
      <c r="L656" s="233">
        <f>+H656*(8.5/100)</f>
        <v>4.2614755100000004</v>
      </c>
      <c r="M656" s="237">
        <v>0</v>
      </c>
      <c r="N656" s="233">
        <v>2.25</v>
      </c>
      <c r="O656" s="233">
        <f t="shared" si="105"/>
        <v>4.5121505400000004</v>
      </c>
      <c r="P656" s="233">
        <f>+((J656+K656)+(M656+N656))</f>
        <v>2.4350000000000001</v>
      </c>
      <c r="Q656" s="233">
        <f t="shared" si="97"/>
        <v>2.0771505400000003</v>
      </c>
      <c r="R656" s="217" t="s">
        <v>284</v>
      </c>
      <c r="S656" s="216" t="s">
        <v>1115</v>
      </c>
      <c r="T656" s="219" t="s">
        <v>282</v>
      </c>
      <c r="U656" s="219" t="s">
        <v>283</v>
      </c>
      <c r="V656" s="219"/>
      <c r="W656" s="1"/>
      <c r="X656" s="1"/>
      <c r="Y656" s="1"/>
      <c r="Z656" s="1"/>
      <c r="AA656" s="1"/>
      <c r="AB656" s="1"/>
      <c r="AC656" s="1"/>
      <c r="AD656" s="1"/>
    </row>
    <row r="657" spans="1:30" s="14" customFormat="1" ht="86.45" customHeight="1" x14ac:dyDescent="0.75">
      <c r="A657" s="333"/>
      <c r="B657" s="353"/>
      <c r="C657" s="333"/>
      <c r="D657" s="354"/>
      <c r="E657" s="221"/>
      <c r="F657" s="216" t="s">
        <v>20</v>
      </c>
      <c r="G657" s="221">
        <v>18</v>
      </c>
      <c r="H657" s="233">
        <v>70.936103000000003</v>
      </c>
      <c r="I657" s="233">
        <f>+H657*0.005</f>
        <v>0.35468051500000003</v>
      </c>
      <c r="J657" s="233">
        <v>0</v>
      </c>
      <c r="K657" s="233">
        <f>((79+79+87+93)*1000)/1000000</f>
        <v>0.33800000000000002</v>
      </c>
      <c r="L657" s="233">
        <f>+H657*(8.5/100)</f>
        <v>6.0295687550000006</v>
      </c>
      <c r="M657" s="237">
        <v>0</v>
      </c>
      <c r="N657" s="233">
        <f>((1351+1349+1478+1572)*1000)/1000000</f>
        <v>5.75</v>
      </c>
      <c r="O657" s="233">
        <f>+I657+L657</f>
        <v>6.3842492700000006</v>
      </c>
      <c r="P657" s="233">
        <f>+((J657+K657)+(M657+N657))</f>
        <v>6.0880000000000001</v>
      </c>
      <c r="Q657" s="233">
        <f>+O657-P657</f>
        <v>0.29624927000000056</v>
      </c>
      <c r="R657" s="217" t="s">
        <v>284</v>
      </c>
      <c r="S657" s="216" t="s">
        <v>1116</v>
      </c>
      <c r="T657" s="222" t="s">
        <v>282</v>
      </c>
      <c r="U657" s="222" t="s">
        <v>283</v>
      </c>
      <c r="V657" s="222"/>
      <c r="W657" s="15"/>
      <c r="X657" s="15"/>
      <c r="Y657" s="15"/>
      <c r="Z657" s="15"/>
      <c r="AA657" s="15"/>
      <c r="AB657" s="15"/>
      <c r="AC657" s="15"/>
      <c r="AD657" s="15"/>
    </row>
    <row r="658" spans="1:30" s="14" customFormat="1" ht="86.45" customHeight="1" x14ac:dyDescent="0.75">
      <c r="A658" s="333"/>
      <c r="B658" s="353"/>
      <c r="C658" s="333"/>
      <c r="D658" s="354"/>
      <c r="E658" s="221"/>
      <c r="F658" s="216" t="s">
        <v>21</v>
      </c>
      <c r="G658" s="216">
        <v>10</v>
      </c>
      <c r="H658" s="233">
        <v>62.895420999999999</v>
      </c>
      <c r="I658" s="233">
        <f>+H658*0.01</f>
        <v>0.62895420999999996</v>
      </c>
      <c r="J658" s="233">
        <v>0.44</v>
      </c>
      <c r="K658" s="233">
        <f>((151)*1000/1000000)</f>
        <v>0.151</v>
      </c>
      <c r="L658" s="233">
        <f>+H658*(10/100)</f>
        <v>6.2895421000000002</v>
      </c>
      <c r="M658" s="237">
        <v>3.3119999999999998</v>
      </c>
      <c r="N658" s="233">
        <v>0</v>
      </c>
      <c r="O658" s="233">
        <f>+I658+L658</f>
        <v>6.9184963100000001</v>
      </c>
      <c r="P658" s="233">
        <f>+((J658+K658)+(M658+N658))</f>
        <v>3.9029999999999996</v>
      </c>
      <c r="Q658" s="233">
        <f>+O658-P658</f>
        <v>3.0154963100000005</v>
      </c>
      <c r="R658" s="217" t="s">
        <v>284</v>
      </c>
      <c r="S658" s="216" t="s">
        <v>1117</v>
      </c>
      <c r="T658" s="222" t="s">
        <v>282</v>
      </c>
      <c r="U658" s="222" t="s">
        <v>283</v>
      </c>
      <c r="V658" s="222"/>
      <c r="W658" s="15"/>
      <c r="X658" s="15"/>
      <c r="Y658" s="15"/>
      <c r="Z658" s="15"/>
      <c r="AA658" s="15"/>
      <c r="AB658" s="15"/>
      <c r="AC658" s="15"/>
      <c r="AD658" s="15"/>
    </row>
    <row r="659" spans="1:30" s="14" customFormat="1" ht="86.45" customHeight="1" x14ac:dyDescent="0.7">
      <c r="A659" s="333"/>
      <c r="B659" s="353"/>
      <c r="C659" s="333"/>
      <c r="D659" s="354"/>
      <c r="E659" s="221"/>
      <c r="F659" s="216" t="s">
        <v>22</v>
      </c>
      <c r="G659" s="216">
        <v>13</v>
      </c>
      <c r="H659" s="233">
        <f>65732272/1000000</f>
        <v>65.732271999999995</v>
      </c>
      <c r="I659" s="233">
        <f>+H659*0.02</f>
        <v>1.3146454399999998</v>
      </c>
      <c r="J659" s="233">
        <v>0</v>
      </c>
      <c r="K659" s="233">
        <v>0</v>
      </c>
      <c r="L659" s="233">
        <f>+H659*(10.5/100)</f>
        <v>6.9018885599999988</v>
      </c>
      <c r="M659" s="237">
        <v>0</v>
      </c>
      <c r="N659" s="233">
        <f>((2508+4901+1508)*1000)/1000000</f>
        <v>8.9169999999999998</v>
      </c>
      <c r="O659" s="233">
        <f>+I659+L659</f>
        <v>8.2165339999999993</v>
      </c>
      <c r="P659" s="233">
        <f>J659+K659+M659+N659</f>
        <v>8.9169999999999998</v>
      </c>
      <c r="Q659" s="233">
        <f>+O659-P659</f>
        <v>-0.70046600000000048</v>
      </c>
      <c r="R659" s="216" t="s">
        <v>284</v>
      </c>
      <c r="S659" s="217" t="s">
        <v>152</v>
      </c>
      <c r="T659" s="222" t="s">
        <v>282</v>
      </c>
      <c r="U659" s="222" t="s">
        <v>310</v>
      </c>
      <c r="V659" s="222"/>
    </row>
    <row r="660" spans="1:30" s="14" customFormat="1" ht="86.45" customHeight="1" x14ac:dyDescent="0.7">
      <c r="A660" s="333"/>
      <c r="B660" s="353"/>
      <c r="C660" s="333"/>
      <c r="D660" s="354"/>
      <c r="E660" s="221"/>
      <c r="F660" s="216" t="s">
        <v>24</v>
      </c>
      <c r="G660" s="216">
        <v>13</v>
      </c>
      <c r="H660" s="233">
        <v>58.490825000000001</v>
      </c>
      <c r="I660" s="233">
        <f>+H660*(2.75/100)</f>
        <v>1.6084976875000001</v>
      </c>
      <c r="J660" s="234">
        <v>0</v>
      </c>
      <c r="K660" s="234">
        <f>((10+426)*1000)/1000000</f>
        <v>0.436</v>
      </c>
      <c r="L660" s="233">
        <f>+H660*(11/100)</f>
        <v>6.4339907500000004</v>
      </c>
      <c r="M660" s="237">
        <v>0</v>
      </c>
      <c r="N660" s="233">
        <f>((0+976+53+952+479+413+1031+639+1001+609)*1000)/1000000</f>
        <v>6.1529999999999996</v>
      </c>
      <c r="O660" s="233">
        <f>+I660+L660</f>
        <v>8.0424884375000012</v>
      </c>
      <c r="P660" s="233">
        <f>J660+K660+M660+N660</f>
        <v>6.5889999999999995</v>
      </c>
      <c r="Q660" s="233">
        <f>+O660-P660</f>
        <v>1.4534884375000017</v>
      </c>
      <c r="R660" s="217" t="s">
        <v>496</v>
      </c>
      <c r="S660" s="217" t="s">
        <v>155</v>
      </c>
      <c r="T660" s="222" t="s">
        <v>282</v>
      </c>
      <c r="U660" s="222" t="s">
        <v>283</v>
      </c>
      <c r="V660" s="222"/>
    </row>
    <row r="661" spans="1:30" s="14" customFormat="1" ht="86.45" customHeight="1" x14ac:dyDescent="0.7">
      <c r="A661" s="333"/>
      <c r="B661" s="353"/>
      <c r="C661" s="333"/>
      <c r="D661" s="354"/>
      <c r="E661" s="221"/>
      <c r="F661" s="216" t="s">
        <v>27</v>
      </c>
      <c r="G661" s="223">
        <v>13</v>
      </c>
      <c r="H661" s="234">
        <v>63.933100000000003</v>
      </c>
      <c r="I661" s="234">
        <f>+H661*(3.5/100)</f>
        <v>2.2376585000000002</v>
      </c>
      <c r="J661" s="234">
        <v>0.23699999999999999</v>
      </c>
      <c r="K661" s="234">
        <f>((11+42+15)*1000)/1000000</f>
        <v>6.8000000000000005E-2</v>
      </c>
      <c r="L661" s="234">
        <f>+H661*(11.5/100)</f>
        <v>7.352306500000001</v>
      </c>
      <c r="M661" s="238">
        <v>0</v>
      </c>
      <c r="N661" s="234">
        <f>((49+893+1450+2801)*1000)/1000000</f>
        <v>5.1929999999999996</v>
      </c>
      <c r="O661" s="234">
        <f t="shared" si="105"/>
        <v>9.5899650000000012</v>
      </c>
      <c r="P661" s="233">
        <f>J661+K661+M661+N661</f>
        <v>5.4979999999999993</v>
      </c>
      <c r="Q661" s="233">
        <f t="shared" si="97"/>
        <v>4.0919650000000019</v>
      </c>
      <c r="R661" s="217" t="s">
        <v>497</v>
      </c>
      <c r="S661" s="217" t="s">
        <v>156</v>
      </c>
      <c r="T661" s="222" t="s">
        <v>282</v>
      </c>
      <c r="U661" s="222" t="s">
        <v>283</v>
      </c>
      <c r="V661" s="222"/>
    </row>
    <row r="662" spans="1:30" s="14" customFormat="1" ht="86.45" customHeight="1" x14ac:dyDescent="0.75">
      <c r="A662" s="330">
        <v>247</v>
      </c>
      <c r="B662" s="324" t="s">
        <v>885</v>
      </c>
      <c r="C662" s="330" t="s">
        <v>511</v>
      </c>
      <c r="D662" s="347">
        <v>221029002025</v>
      </c>
      <c r="E662" s="347" t="s">
        <v>1298</v>
      </c>
      <c r="F662" s="216" t="s">
        <v>18</v>
      </c>
      <c r="G662" s="216">
        <v>11</v>
      </c>
      <c r="H662" s="233">
        <v>4.3912000000000004</v>
      </c>
      <c r="I662" s="233">
        <f t="shared" ref="I662:I676" si="109">+H662*0.005</f>
        <v>2.1956000000000003E-2</v>
      </c>
      <c r="J662" s="233">
        <v>0</v>
      </c>
      <c r="K662" s="233">
        <v>0</v>
      </c>
      <c r="L662" s="233">
        <f t="shared" ref="L662:L676" si="110">+H662*(8.5/100)</f>
        <v>0.37325200000000008</v>
      </c>
      <c r="M662" s="237">
        <v>0</v>
      </c>
      <c r="N662" s="233">
        <v>0</v>
      </c>
      <c r="O662" s="233">
        <f t="shared" si="105"/>
        <v>0.39520800000000011</v>
      </c>
      <c r="P662" s="233">
        <f t="shared" ref="P662:P723" si="111">+((J662+K662)+(M662+N662))</f>
        <v>0</v>
      </c>
      <c r="Q662" s="233">
        <f t="shared" si="97"/>
        <v>0.39520800000000011</v>
      </c>
      <c r="R662" s="217" t="s">
        <v>19</v>
      </c>
      <c r="S662" s="216" t="s">
        <v>346</v>
      </c>
      <c r="T662" s="222" t="s">
        <v>344</v>
      </c>
      <c r="U662" s="222"/>
      <c r="V662" s="222"/>
      <c r="W662" s="15"/>
      <c r="X662" s="15"/>
      <c r="Y662" s="15"/>
      <c r="Z662" s="15"/>
      <c r="AA662" s="15"/>
      <c r="AB662" s="15"/>
      <c r="AC662" s="15"/>
      <c r="AD662" s="15"/>
    </row>
    <row r="663" spans="1:30" s="14" customFormat="1" ht="86.45" customHeight="1" x14ac:dyDescent="0.75">
      <c r="A663" s="331"/>
      <c r="B663" s="325"/>
      <c r="C663" s="331"/>
      <c r="D663" s="349"/>
      <c r="E663" s="348"/>
      <c r="F663" s="216" t="s">
        <v>20</v>
      </c>
      <c r="G663" s="216">
        <v>3</v>
      </c>
      <c r="H663" s="233">
        <v>9.2630999999999997</v>
      </c>
      <c r="I663" s="233">
        <f t="shared" si="109"/>
        <v>4.6315500000000003E-2</v>
      </c>
      <c r="J663" s="233">
        <v>0</v>
      </c>
      <c r="K663" s="233">
        <f>(59)*1000/1000000</f>
        <v>5.8999999999999997E-2</v>
      </c>
      <c r="L663" s="233">
        <f t="shared" si="110"/>
        <v>0.78736349999999999</v>
      </c>
      <c r="M663" s="237">
        <v>0</v>
      </c>
      <c r="N663" s="233">
        <f>(1018)*1000/1000000</f>
        <v>1.018</v>
      </c>
      <c r="O663" s="233">
        <f t="shared" si="105"/>
        <v>0.83367899999999995</v>
      </c>
      <c r="P663" s="233">
        <f t="shared" si="111"/>
        <v>1.077</v>
      </c>
      <c r="Q663" s="233">
        <f t="shared" si="97"/>
        <v>-0.24332100000000001</v>
      </c>
      <c r="R663" s="217" t="s">
        <v>284</v>
      </c>
      <c r="S663" s="216" t="s">
        <v>1118</v>
      </c>
      <c r="T663" s="222" t="s">
        <v>282</v>
      </c>
      <c r="U663" s="222" t="s">
        <v>310</v>
      </c>
      <c r="V663" s="222"/>
      <c r="W663" s="15"/>
      <c r="X663" s="15"/>
      <c r="Y663" s="15"/>
      <c r="Z663" s="15"/>
      <c r="AA663" s="15"/>
      <c r="AB663" s="15"/>
      <c r="AC663" s="15"/>
      <c r="AD663" s="15"/>
    </row>
    <row r="664" spans="1:30" s="14" customFormat="1" ht="86.45" customHeight="1" x14ac:dyDescent="0.75">
      <c r="A664" s="331"/>
      <c r="B664" s="325"/>
      <c r="C664" s="331"/>
      <c r="D664" s="349"/>
      <c r="E664" s="350" t="s">
        <v>1335</v>
      </c>
      <c r="F664" s="254" t="s">
        <v>18</v>
      </c>
      <c r="G664" s="254">
        <v>1.3</v>
      </c>
      <c r="H664" s="255">
        <v>3.782</v>
      </c>
      <c r="I664" s="255">
        <v>1.9E-2</v>
      </c>
      <c r="J664" s="255">
        <v>0</v>
      </c>
      <c r="K664" s="255">
        <v>0</v>
      </c>
      <c r="L664" s="255">
        <v>0.32100000000000001</v>
      </c>
      <c r="M664" s="256">
        <v>0</v>
      </c>
      <c r="N664" s="255">
        <v>0</v>
      </c>
      <c r="O664" s="255">
        <v>0.34</v>
      </c>
      <c r="P664" s="255">
        <v>0</v>
      </c>
      <c r="Q664" s="255">
        <v>0.34</v>
      </c>
      <c r="R664" s="258"/>
      <c r="S664" s="254"/>
      <c r="T664" s="222"/>
      <c r="U664" s="222"/>
      <c r="V664" s="222"/>
      <c r="W664" s="15"/>
      <c r="X664" s="15"/>
      <c r="Y664" s="15"/>
      <c r="Z664" s="15"/>
      <c r="AA664" s="15"/>
      <c r="AB664" s="15"/>
      <c r="AC664" s="15"/>
      <c r="AD664" s="15"/>
    </row>
    <row r="665" spans="1:30" s="14" customFormat="1" ht="86.45" customHeight="1" x14ac:dyDescent="0.75">
      <c r="A665" s="332"/>
      <c r="B665" s="326"/>
      <c r="C665" s="332"/>
      <c r="D665" s="348"/>
      <c r="E665" s="352"/>
      <c r="F665" s="254" t="s">
        <v>20</v>
      </c>
      <c r="G665" s="254">
        <v>1.3</v>
      </c>
      <c r="H665" s="255">
        <v>8.202</v>
      </c>
      <c r="I665" s="255">
        <v>4.1000000000000002E-2</v>
      </c>
      <c r="J665" s="255">
        <v>0</v>
      </c>
      <c r="K665" s="255">
        <v>5.8999999999999997E-2</v>
      </c>
      <c r="L665" s="255">
        <v>0.69699999999999995</v>
      </c>
      <c r="M665" s="256">
        <v>0</v>
      </c>
      <c r="N665" s="255">
        <v>1.018</v>
      </c>
      <c r="O665" s="255">
        <v>0.73799999999999999</v>
      </c>
      <c r="P665" s="255">
        <v>1.077</v>
      </c>
      <c r="Q665" s="255">
        <v>-0.34</v>
      </c>
      <c r="R665" s="258"/>
      <c r="S665" s="254"/>
      <c r="T665" s="222"/>
      <c r="U665" s="222"/>
      <c r="V665" s="222"/>
      <c r="W665" s="15"/>
      <c r="X665" s="15"/>
      <c r="Y665" s="15"/>
      <c r="Z665" s="15"/>
      <c r="AA665" s="15"/>
      <c r="AB665" s="15"/>
      <c r="AC665" s="15"/>
      <c r="AD665" s="15"/>
    </row>
    <row r="666" spans="1:30" s="14" customFormat="1" ht="86.45" customHeight="1" x14ac:dyDescent="0.75">
      <c r="A666" s="333">
        <v>248</v>
      </c>
      <c r="B666" s="353" t="s">
        <v>886</v>
      </c>
      <c r="C666" s="333" t="s">
        <v>511</v>
      </c>
      <c r="D666" s="354">
        <v>31699019499</v>
      </c>
      <c r="E666" s="221"/>
      <c r="F666" s="216" t="s">
        <v>18</v>
      </c>
      <c r="G666" s="216">
        <v>2.2000000000000002</v>
      </c>
      <c r="H666" s="233">
        <v>19.06859</v>
      </c>
      <c r="I666" s="233">
        <f>+H666*0.005</f>
        <v>9.534295000000001E-2</v>
      </c>
      <c r="J666" s="233">
        <v>0</v>
      </c>
      <c r="K666" s="233">
        <v>0</v>
      </c>
      <c r="L666" s="233">
        <f>+H666*(8.5/100)</f>
        <v>1.6208301500000002</v>
      </c>
      <c r="M666" s="237">
        <v>0</v>
      </c>
      <c r="N666" s="233">
        <v>0</v>
      </c>
      <c r="O666" s="233">
        <f>+I666+L666</f>
        <v>1.7161731000000002</v>
      </c>
      <c r="P666" s="233">
        <f>+((J666+K666)+(M666+N666))</f>
        <v>0</v>
      </c>
      <c r="Q666" s="233">
        <f>+O666-P666</f>
        <v>1.7161731000000002</v>
      </c>
      <c r="R666" s="217" t="s">
        <v>19</v>
      </c>
      <c r="S666" s="216" t="s">
        <v>346</v>
      </c>
      <c r="T666" s="222" t="s">
        <v>344</v>
      </c>
      <c r="U666" s="222"/>
      <c r="V666" s="222"/>
      <c r="W666" s="15"/>
      <c r="X666" s="15"/>
      <c r="Y666" s="15"/>
      <c r="Z666" s="15"/>
      <c r="AA666" s="15"/>
      <c r="AB666" s="15"/>
      <c r="AC666" s="15"/>
      <c r="AD666" s="15"/>
    </row>
    <row r="667" spans="1:30" s="14" customFormat="1" ht="86.45" customHeight="1" x14ac:dyDescent="0.75">
      <c r="A667" s="333"/>
      <c r="B667" s="353"/>
      <c r="C667" s="333"/>
      <c r="D667" s="354"/>
      <c r="E667" s="221"/>
      <c r="F667" s="216" t="s">
        <v>20</v>
      </c>
      <c r="G667" s="216">
        <v>3</v>
      </c>
      <c r="H667" s="233">
        <v>16.181550000000001</v>
      </c>
      <c r="I667" s="233">
        <f t="shared" si="109"/>
        <v>8.0907750000000014E-2</v>
      </c>
      <c r="J667" s="233">
        <v>0</v>
      </c>
      <c r="K667" s="233">
        <v>0</v>
      </c>
      <c r="L667" s="233">
        <f t="shared" si="110"/>
        <v>1.3754317500000002</v>
      </c>
      <c r="M667" s="237">
        <v>0</v>
      </c>
      <c r="N667" s="233">
        <v>0</v>
      </c>
      <c r="O667" s="233">
        <f t="shared" si="105"/>
        <v>1.4563395000000001</v>
      </c>
      <c r="P667" s="233">
        <f t="shared" si="111"/>
        <v>0</v>
      </c>
      <c r="Q667" s="233">
        <f t="shared" si="97"/>
        <v>1.4563395000000001</v>
      </c>
      <c r="R667" s="217" t="s">
        <v>19</v>
      </c>
      <c r="S667" s="216" t="s">
        <v>29</v>
      </c>
      <c r="T667" s="222" t="s">
        <v>344</v>
      </c>
      <c r="U667" s="222"/>
      <c r="V667" s="222"/>
      <c r="W667" s="15"/>
      <c r="X667" s="15"/>
      <c r="Y667" s="15"/>
      <c r="Z667" s="15"/>
      <c r="AA667" s="15"/>
      <c r="AB667" s="15"/>
      <c r="AC667" s="15"/>
      <c r="AD667" s="15"/>
    </row>
    <row r="668" spans="1:30" s="14" customFormat="1" ht="86.45" customHeight="1" x14ac:dyDescent="0.75">
      <c r="A668" s="216">
        <v>249</v>
      </c>
      <c r="B668" s="220" t="s">
        <v>887</v>
      </c>
      <c r="C668" s="216" t="s">
        <v>511</v>
      </c>
      <c r="D668" s="221">
        <v>490019041270</v>
      </c>
      <c r="E668" s="221"/>
      <c r="F668" s="216" t="s">
        <v>18</v>
      </c>
      <c r="G668" s="216">
        <v>0.95</v>
      </c>
      <c r="H668" s="233">
        <v>2.2309589999999999</v>
      </c>
      <c r="I668" s="233">
        <f t="shared" si="109"/>
        <v>1.1154795E-2</v>
      </c>
      <c r="J668" s="233">
        <v>0</v>
      </c>
      <c r="K668" s="233">
        <v>0</v>
      </c>
      <c r="L668" s="233">
        <f t="shared" si="110"/>
        <v>0.189631515</v>
      </c>
      <c r="M668" s="237">
        <v>0</v>
      </c>
      <c r="N668" s="233">
        <v>0</v>
      </c>
      <c r="O668" s="233">
        <f t="shared" si="105"/>
        <v>0.20078631</v>
      </c>
      <c r="P668" s="233">
        <f t="shared" si="111"/>
        <v>0</v>
      </c>
      <c r="Q668" s="233">
        <f t="shared" si="97"/>
        <v>0.20078631</v>
      </c>
      <c r="R668" s="217" t="s">
        <v>19</v>
      </c>
      <c r="S668" s="216" t="s">
        <v>346</v>
      </c>
      <c r="T668" s="222" t="s">
        <v>344</v>
      </c>
      <c r="U668" s="222"/>
      <c r="V668" s="222"/>
      <c r="W668" s="15"/>
      <c r="X668" s="15"/>
      <c r="Y668" s="15"/>
      <c r="Z668" s="15"/>
      <c r="AA668" s="15"/>
      <c r="AB668" s="15"/>
      <c r="AC668" s="15"/>
      <c r="AD668" s="15"/>
    </row>
    <row r="669" spans="1:30" s="14" customFormat="1" ht="86.45" customHeight="1" x14ac:dyDescent="0.75">
      <c r="A669" s="333">
        <v>250</v>
      </c>
      <c r="B669" s="353" t="s">
        <v>888</v>
      </c>
      <c r="C669" s="333" t="s">
        <v>511</v>
      </c>
      <c r="D669" s="354">
        <v>181739031530</v>
      </c>
      <c r="E669" s="221"/>
      <c r="F669" s="216" t="s">
        <v>18</v>
      </c>
      <c r="G669" s="216">
        <v>1</v>
      </c>
      <c r="H669" s="233">
        <v>7.906555</v>
      </c>
      <c r="I669" s="233">
        <f t="shared" si="109"/>
        <v>3.9532774999999999E-2</v>
      </c>
      <c r="J669" s="233">
        <v>0</v>
      </c>
      <c r="K669" s="233">
        <v>0</v>
      </c>
      <c r="L669" s="233">
        <f t="shared" si="110"/>
        <v>0.67205717500000006</v>
      </c>
      <c r="M669" s="237">
        <v>0</v>
      </c>
      <c r="N669" s="233">
        <v>0</v>
      </c>
      <c r="O669" s="233">
        <f t="shared" si="105"/>
        <v>0.71158995000000003</v>
      </c>
      <c r="P669" s="233">
        <f t="shared" si="111"/>
        <v>0</v>
      </c>
      <c r="Q669" s="233">
        <f t="shared" ref="Q669:Q723" si="112">+O669-P669</f>
        <v>0.71158995000000003</v>
      </c>
      <c r="R669" s="217" t="s">
        <v>19</v>
      </c>
      <c r="S669" s="216" t="s">
        <v>346</v>
      </c>
      <c r="T669" s="222" t="s">
        <v>344</v>
      </c>
      <c r="U669" s="222"/>
      <c r="V669" s="222"/>
      <c r="W669" s="15"/>
      <c r="X669" s="15"/>
      <c r="Y669" s="15"/>
      <c r="Z669" s="15"/>
      <c r="AA669" s="15"/>
      <c r="AB669" s="15"/>
      <c r="AC669" s="15"/>
      <c r="AD669" s="15"/>
    </row>
    <row r="670" spans="1:30" s="14" customFormat="1" ht="86.45" customHeight="1" x14ac:dyDescent="0.75">
      <c r="A670" s="333"/>
      <c r="B670" s="353"/>
      <c r="C670" s="333"/>
      <c r="D670" s="354"/>
      <c r="E670" s="221"/>
      <c r="F670" s="216" t="s">
        <v>20</v>
      </c>
      <c r="G670" s="216">
        <v>1</v>
      </c>
      <c r="H670" s="233">
        <v>8.2743450000000003</v>
      </c>
      <c r="I670" s="233">
        <f t="shared" si="109"/>
        <v>4.1371725000000005E-2</v>
      </c>
      <c r="J670" s="233">
        <v>0</v>
      </c>
      <c r="K670" s="233">
        <f>(((42)*1000)/1000000)</f>
        <v>4.2000000000000003E-2</v>
      </c>
      <c r="L670" s="233">
        <f t="shared" si="110"/>
        <v>0.70331932500000005</v>
      </c>
      <c r="M670" s="237">
        <v>0</v>
      </c>
      <c r="N670" s="233">
        <f>(((704)*1000)/1000000)</f>
        <v>0.70399999999999996</v>
      </c>
      <c r="O670" s="233">
        <f t="shared" si="105"/>
        <v>0.74469105000000002</v>
      </c>
      <c r="P670" s="233">
        <f t="shared" si="111"/>
        <v>0.746</v>
      </c>
      <c r="Q670" s="233">
        <f t="shared" si="112"/>
        <v>-1.3089499999999754E-3</v>
      </c>
      <c r="R670" s="217" t="s">
        <v>284</v>
      </c>
      <c r="S670" s="216" t="s">
        <v>939</v>
      </c>
      <c r="T670" s="222" t="s">
        <v>282</v>
      </c>
      <c r="U670" s="222" t="s">
        <v>310</v>
      </c>
      <c r="V670" s="222"/>
      <c r="W670" s="15"/>
      <c r="X670" s="15"/>
      <c r="Y670" s="15"/>
      <c r="Z670" s="15"/>
      <c r="AA670" s="15"/>
      <c r="AB670" s="15"/>
      <c r="AC670" s="15"/>
      <c r="AD670" s="15"/>
    </row>
    <row r="671" spans="1:30" s="14" customFormat="1" ht="86.45" customHeight="1" x14ac:dyDescent="0.75">
      <c r="A671" s="333">
        <v>251</v>
      </c>
      <c r="B671" s="353" t="s">
        <v>889</v>
      </c>
      <c r="C671" s="333" t="s">
        <v>511</v>
      </c>
      <c r="D671" s="354">
        <v>184059034740</v>
      </c>
      <c r="E671" s="221"/>
      <c r="F671" s="216" t="s">
        <v>18</v>
      </c>
      <c r="G671" s="216">
        <v>1</v>
      </c>
      <c r="H671" s="233">
        <v>7.6922360000000003</v>
      </c>
      <c r="I671" s="233">
        <f>+H671*0.005</f>
        <v>3.8461180000000005E-2</v>
      </c>
      <c r="J671" s="233">
        <v>0</v>
      </c>
      <c r="K671" s="233">
        <v>0</v>
      </c>
      <c r="L671" s="233">
        <f>+H671*(8.5/100)</f>
        <v>0.65384006000000006</v>
      </c>
      <c r="M671" s="237">
        <v>0</v>
      </c>
      <c r="N671" s="233">
        <v>0</v>
      </c>
      <c r="O671" s="233">
        <f>+I671+L671</f>
        <v>0.69230124000000004</v>
      </c>
      <c r="P671" s="233">
        <f>+((J671+K671)+(M671+N671))</f>
        <v>0</v>
      </c>
      <c r="Q671" s="233">
        <f>+O671-P671</f>
        <v>0.69230124000000004</v>
      </c>
      <c r="R671" s="217" t="s">
        <v>284</v>
      </c>
      <c r="S671" s="216" t="s">
        <v>1119</v>
      </c>
      <c r="T671" s="222" t="s">
        <v>282</v>
      </c>
      <c r="U671" s="222" t="s">
        <v>283</v>
      </c>
      <c r="V671" s="222"/>
      <c r="W671" s="15"/>
      <c r="X671" s="15"/>
      <c r="Y671" s="15"/>
      <c r="Z671" s="15"/>
      <c r="AA671" s="15"/>
      <c r="AB671" s="15"/>
      <c r="AC671" s="15"/>
      <c r="AD671" s="15"/>
    </row>
    <row r="672" spans="1:30" s="14" customFormat="1" ht="86.45" customHeight="1" x14ac:dyDescent="0.75">
      <c r="A672" s="333"/>
      <c r="B672" s="353"/>
      <c r="C672" s="333"/>
      <c r="D672" s="354"/>
      <c r="E672" s="221"/>
      <c r="F672" s="216" t="s">
        <v>20</v>
      </c>
      <c r="G672" s="216">
        <v>1</v>
      </c>
      <c r="H672" s="233">
        <v>9.3474339999999998</v>
      </c>
      <c r="I672" s="233">
        <f t="shared" si="109"/>
        <v>4.6737170000000001E-2</v>
      </c>
      <c r="J672" s="233">
        <v>0</v>
      </c>
      <c r="K672" s="233">
        <f>((47)*1000)/1000000</f>
        <v>4.7E-2</v>
      </c>
      <c r="L672" s="233">
        <f t="shared" si="110"/>
        <v>0.79453189000000002</v>
      </c>
      <c r="M672" s="237">
        <v>0</v>
      </c>
      <c r="N672" s="233">
        <f>((795)*1000)/1000000</f>
        <v>0.79500000000000004</v>
      </c>
      <c r="O672" s="233">
        <f t="shared" si="105"/>
        <v>0.84126906000000001</v>
      </c>
      <c r="P672" s="233">
        <f t="shared" si="111"/>
        <v>0.84200000000000008</v>
      </c>
      <c r="Q672" s="233">
        <f t="shared" si="112"/>
        <v>-7.3094000000006876E-4</v>
      </c>
      <c r="R672" s="217" t="s">
        <v>305</v>
      </c>
      <c r="S672" s="216" t="s">
        <v>972</v>
      </c>
      <c r="T672" s="222" t="s">
        <v>282</v>
      </c>
      <c r="U672" s="222" t="s">
        <v>310</v>
      </c>
      <c r="V672" s="222"/>
      <c r="W672" s="15"/>
      <c r="X672" s="15"/>
      <c r="Y672" s="15"/>
      <c r="Z672" s="15"/>
      <c r="AA672" s="15"/>
      <c r="AB672" s="15"/>
      <c r="AC672" s="15"/>
      <c r="AD672" s="15"/>
    </row>
    <row r="673" spans="1:30" s="14" customFormat="1" ht="86.45" customHeight="1" x14ac:dyDescent="0.75">
      <c r="A673" s="333">
        <v>252</v>
      </c>
      <c r="B673" s="353" t="s">
        <v>890</v>
      </c>
      <c r="C673" s="333" t="s">
        <v>511</v>
      </c>
      <c r="D673" s="354">
        <v>31709017686</v>
      </c>
      <c r="E673" s="221"/>
      <c r="F673" s="216" t="s">
        <v>20</v>
      </c>
      <c r="G673" s="216">
        <v>2.2000000000000002</v>
      </c>
      <c r="H673" s="233">
        <v>9.8913019999999996</v>
      </c>
      <c r="I673" s="233">
        <f t="shared" si="109"/>
        <v>4.9456510000000002E-2</v>
      </c>
      <c r="J673" s="233">
        <v>0</v>
      </c>
      <c r="K673" s="233">
        <f>((43)*1000/1000000)</f>
        <v>4.2999999999999997E-2</v>
      </c>
      <c r="L673" s="233">
        <f t="shared" si="110"/>
        <v>0.84076066999999999</v>
      </c>
      <c r="M673" s="237">
        <v>0</v>
      </c>
      <c r="N673" s="233">
        <f>((727)*1000/1000000)</f>
        <v>0.72699999999999998</v>
      </c>
      <c r="O673" s="233">
        <f t="shared" si="105"/>
        <v>0.89021717999999994</v>
      </c>
      <c r="P673" s="233">
        <f t="shared" si="111"/>
        <v>0.77</v>
      </c>
      <c r="Q673" s="233">
        <f t="shared" si="112"/>
        <v>0.12021717999999992</v>
      </c>
      <c r="R673" s="217" t="s">
        <v>284</v>
      </c>
      <c r="S673" s="216" t="s">
        <v>946</v>
      </c>
      <c r="T673" s="222" t="s">
        <v>282</v>
      </c>
      <c r="U673" s="222" t="s">
        <v>283</v>
      </c>
      <c r="V673" s="222"/>
      <c r="W673" s="15"/>
      <c r="X673" s="15"/>
      <c r="Y673" s="15"/>
      <c r="Z673" s="15"/>
      <c r="AA673" s="15"/>
      <c r="AB673" s="15"/>
      <c r="AC673" s="15"/>
      <c r="AD673" s="15"/>
    </row>
    <row r="674" spans="1:30" s="14" customFormat="1" ht="86.45" customHeight="1" x14ac:dyDescent="0.75">
      <c r="A674" s="333"/>
      <c r="B674" s="353"/>
      <c r="C674" s="333"/>
      <c r="D674" s="354"/>
      <c r="E674" s="221"/>
      <c r="F674" s="216" t="s">
        <v>18</v>
      </c>
      <c r="G674" s="216">
        <v>1.2</v>
      </c>
      <c r="H674" s="233">
        <v>10.156774</v>
      </c>
      <c r="I674" s="233">
        <f t="shared" si="109"/>
        <v>5.0783870000000002E-2</v>
      </c>
      <c r="J674" s="233">
        <v>0</v>
      </c>
      <c r="K674" s="233">
        <v>0</v>
      </c>
      <c r="L674" s="233">
        <f t="shared" si="110"/>
        <v>0.86332579000000009</v>
      </c>
      <c r="M674" s="237">
        <v>0</v>
      </c>
      <c r="N674" s="233">
        <v>0</v>
      </c>
      <c r="O674" s="233">
        <f t="shared" si="105"/>
        <v>0.91410966000000005</v>
      </c>
      <c r="P674" s="233">
        <f t="shared" si="111"/>
        <v>0</v>
      </c>
      <c r="Q674" s="233">
        <f t="shared" si="112"/>
        <v>0.91410966000000005</v>
      </c>
      <c r="R674" s="217" t="s">
        <v>19</v>
      </c>
      <c r="S674" s="216" t="s">
        <v>346</v>
      </c>
      <c r="T674" s="222" t="s">
        <v>344</v>
      </c>
      <c r="U674" s="222"/>
      <c r="V674" s="222"/>
      <c r="W674" s="15"/>
      <c r="X674" s="15"/>
      <c r="Y674" s="15"/>
      <c r="Z674" s="15"/>
      <c r="AA674" s="15"/>
      <c r="AB674" s="15"/>
      <c r="AC674" s="15"/>
      <c r="AD674" s="15"/>
    </row>
    <row r="675" spans="1:30" s="245" customFormat="1" ht="86.45" customHeight="1" x14ac:dyDescent="0.75">
      <c r="A675" s="330">
        <v>253</v>
      </c>
      <c r="B675" s="324" t="s">
        <v>891</v>
      </c>
      <c r="C675" s="330" t="s">
        <v>511</v>
      </c>
      <c r="D675" s="347">
        <v>221029009570</v>
      </c>
      <c r="E675" s="221" t="s">
        <v>1298</v>
      </c>
      <c r="F675" s="216" t="s">
        <v>20</v>
      </c>
      <c r="G675" s="216">
        <v>2</v>
      </c>
      <c r="H675" s="233">
        <v>17.570889999999999</v>
      </c>
      <c r="I675" s="233">
        <f t="shared" si="109"/>
        <v>8.7854450000000001E-2</v>
      </c>
      <c r="J675" s="233">
        <v>0</v>
      </c>
      <c r="K675" s="233">
        <f>((34+20+25)*1000)/1000000</f>
        <v>7.9000000000000001E-2</v>
      </c>
      <c r="L675" s="233">
        <f t="shared" si="110"/>
        <v>1.49352565</v>
      </c>
      <c r="M675" s="237">
        <v>0</v>
      </c>
      <c r="N675" s="233">
        <f>((575+345+415)*1000)/1000000</f>
        <v>1.335</v>
      </c>
      <c r="O675" s="233">
        <f t="shared" si="105"/>
        <v>1.5813801000000001</v>
      </c>
      <c r="P675" s="233">
        <f t="shared" si="111"/>
        <v>1.4139999999999999</v>
      </c>
      <c r="Q675" s="233">
        <f t="shared" si="112"/>
        <v>0.16738010000000014</v>
      </c>
      <c r="R675" s="217" t="s">
        <v>284</v>
      </c>
      <c r="S675" s="216" t="s">
        <v>1120</v>
      </c>
      <c r="T675" s="243" t="s">
        <v>282</v>
      </c>
      <c r="U675" s="243" t="s">
        <v>283</v>
      </c>
      <c r="V675" s="243"/>
      <c r="W675" s="244"/>
      <c r="X675" s="244"/>
      <c r="Y675" s="244"/>
      <c r="Z675" s="244"/>
      <c r="AA675" s="244"/>
      <c r="AB675" s="244"/>
      <c r="AC675" s="244"/>
      <c r="AD675" s="244"/>
    </row>
    <row r="676" spans="1:30" s="245" customFormat="1" ht="86.45" customHeight="1" x14ac:dyDescent="0.75">
      <c r="A676" s="332"/>
      <c r="B676" s="326"/>
      <c r="C676" s="332"/>
      <c r="D676" s="348"/>
      <c r="E676" s="260" t="s">
        <v>1329</v>
      </c>
      <c r="F676" s="254" t="s">
        <v>20</v>
      </c>
      <c r="G676" s="254">
        <v>2</v>
      </c>
      <c r="H676" s="255">
        <v>15.706899999999999</v>
      </c>
      <c r="I676" s="255">
        <f t="shared" si="109"/>
        <v>7.8534499999999993E-2</v>
      </c>
      <c r="J676" s="255">
        <v>0</v>
      </c>
      <c r="K676" s="255">
        <v>7.9000000000000001E-2</v>
      </c>
      <c r="L676" s="255">
        <f t="shared" si="110"/>
        <v>1.3350865000000001</v>
      </c>
      <c r="M676" s="256">
        <v>0</v>
      </c>
      <c r="N676" s="255">
        <v>1.335</v>
      </c>
      <c r="O676" s="255">
        <f t="shared" si="105"/>
        <v>1.413621</v>
      </c>
      <c r="P676" s="255">
        <v>1.4139999999999999</v>
      </c>
      <c r="Q676" s="255">
        <f t="shared" si="112"/>
        <v>-3.7899999999990719E-4</v>
      </c>
      <c r="R676" s="258"/>
      <c r="S676" s="254"/>
      <c r="T676" s="243"/>
      <c r="U676" s="243"/>
      <c r="V676" s="243"/>
      <c r="W676" s="244"/>
      <c r="X676" s="244"/>
      <c r="Y676" s="244"/>
      <c r="Z676" s="244"/>
      <c r="AA676" s="244"/>
      <c r="AB676" s="244"/>
      <c r="AC676" s="244"/>
      <c r="AD676" s="244"/>
    </row>
    <row r="677" spans="1:30" s="14" customFormat="1" ht="86.45" customHeight="1" x14ac:dyDescent="0.7">
      <c r="A677" s="330">
        <v>254</v>
      </c>
      <c r="B677" s="324" t="s">
        <v>1392</v>
      </c>
      <c r="C677" s="330" t="s">
        <v>511</v>
      </c>
      <c r="D677" s="347">
        <v>3209043000</v>
      </c>
      <c r="E677" s="347" t="s">
        <v>1298</v>
      </c>
      <c r="F677" s="216" t="s">
        <v>22</v>
      </c>
      <c r="G677" s="216">
        <v>5.25</v>
      </c>
      <c r="H677" s="233">
        <f>13449400/1000000</f>
        <v>13.449400000000001</v>
      </c>
      <c r="I677" s="233">
        <f>+H677*0.02</f>
        <v>0.268988</v>
      </c>
      <c r="J677" s="233">
        <v>0</v>
      </c>
      <c r="K677" s="233">
        <v>0</v>
      </c>
      <c r="L677" s="233">
        <f>+H677*(10.5/100)</f>
        <v>1.4121870000000001</v>
      </c>
      <c r="M677" s="237">
        <v>0</v>
      </c>
      <c r="N677" s="233">
        <v>0</v>
      </c>
      <c r="O677" s="233">
        <f>+I677+L677</f>
        <v>1.6811750000000001</v>
      </c>
      <c r="P677" s="233">
        <f>+((J677+K677)+(M677+N677))</f>
        <v>0</v>
      </c>
      <c r="Q677" s="233">
        <f>+O677-P677</f>
        <v>1.6811750000000001</v>
      </c>
      <c r="R677" s="216" t="s">
        <v>19</v>
      </c>
      <c r="S677" s="216" t="s">
        <v>158</v>
      </c>
      <c r="T677" s="222" t="s">
        <v>344</v>
      </c>
      <c r="U677" s="222"/>
      <c r="V677" s="222"/>
    </row>
    <row r="678" spans="1:30" s="14" customFormat="1" ht="86.45" customHeight="1" x14ac:dyDescent="0.7">
      <c r="A678" s="331"/>
      <c r="B678" s="325"/>
      <c r="C678" s="331"/>
      <c r="D678" s="349"/>
      <c r="E678" s="349"/>
      <c r="F678" s="216" t="s">
        <v>24</v>
      </c>
      <c r="G678" s="216">
        <v>5</v>
      </c>
      <c r="H678" s="233">
        <v>40.974912000000003</v>
      </c>
      <c r="I678" s="233">
        <f>+H678*(2.75/100)</f>
        <v>1.12681008</v>
      </c>
      <c r="J678" s="233">
        <v>0</v>
      </c>
      <c r="K678" s="233">
        <v>0</v>
      </c>
      <c r="L678" s="233">
        <f>+H678*(11/100)</f>
        <v>4.5072403200000002</v>
      </c>
      <c r="M678" s="237">
        <v>0</v>
      </c>
      <c r="N678" s="233">
        <v>0</v>
      </c>
      <c r="O678" s="233">
        <f>+I678+L678</f>
        <v>5.6340504000000005</v>
      </c>
      <c r="P678" s="233">
        <f>+((J678+K678)+(M678+N678))</f>
        <v>0</v>
      </c>
      <c r="Q678" s="233">
        <f>+O678-P678</f>
        <v>5.6340504000000005</v>
      </c>
      <c r="R678" s="217" t="s">
        <v>494</v>
      </c>
      <c r="S678" s="216" t="s">
        <v>159</v>
      </c>
      <c r="T678" s="222" t="s">
        <v>282</v>
      </c>
      <c r="U678" s="222" t="s">
        <v>283</v>
      </c>
      <c r="V678" s="222"/>
    </row>
    <row r="679" spans="1:30" s="14" customFormat="1" ht="86.45" customHeight="1" x14ac:dyDescent="0.7">
      <c r="A679" s="331"/>
      <c r="B679" s="325"/>
      <c r="C679" s="331"/>
      <c r="D679" s="349"/>
      <c r="E679" s="348"/>
      <c r="F679" s="216" t="s">
        <v>27</v>
      </c>
      <c r="G679" s="216">
        <v>18</v>
      </c>
      <c r="H679" s="233">
        <v>38.223402999999998</v>
      </c>
      <c r="I679" s="233">
        <f>+H679*(3.5/100)</f>
        <v>1.3378191050000001</v>
      </c>
      <c r="J679" s="233">
        <v>0</v>
      </c>
      <c r="K679" s="233">
        <v>0</v>
      </c>
      <c r="L679" s="233">
        <f>+H679*(11.5/100)</f>
        <v>4.3956913449999995</v>
      </c>
      <c r="M679" s="237">
        <v>0</v>
      </c>
      <c r="N679" s="233">
        <v>0</v>
      </c>
      <c r="O679" s="233">
        <f t="shared" si="105"/>
        <v>5.7335104499999998</v>
      </c>
      <c r="P679" s="233">
        <f t="shared" si="111"/>
        <v>0</v>
      </c>
      <c r="Q679" s="233">
        <f t="shared" si="112"/>
        <v>5.7335104499999998</v>
      </c>
      <c r="R679" s="217" t="s">
        <v>497</v>
      </c>
      <c r="S679" s="216" t="s">
        <v>160</v>
      </c>
      <c r="T679" s="222" t="s">
        <v>282</v>
      </c>
      <c r="U679" s="222" t="s">
        <v>283</v>
      </c>
      <c r="V679" s="222"/>
    </row>
    <row r="680" spans="1:30" s="14" customFormat="1" ht="86.45" customHeight="1" x14ac:dyDescent="0.7">
      <c r="A680" s="331"/>
      <c r="B680" s="325"/>
      <c r="C680" s="331"/>
      <c r="D680" s="349"/>
      <c r="E680" s="350" t="s">
        <v>1354</v>
      </c>
      <c r="F680" s="254" t="s">
        <v>22</v>
      </c>
      <c r="G680" s="254">
        <v>5</v>
      </c>
      <c r="H680" s="255">
        <v>12.434100000000001</v>
      </c>
      <c r="I680" s="255">
        <v>0</v>
      </c>
      <c r="J680" s="255">
        <v>0</v>
      </c>
      <c r="K680" s="255">
        <v>0</v>
      </c>
      <c r="L680" s="255">
        <v>0</v>
      </c>
      <c r="M680" s="255">
        <v>0</v>
      </c>
      <c r="N680" s="255">
        <v>0</v>
      </c>
      <c r="O680" s="255">
        <v>1.1191</v>
      </c>
      <c r="P680" s="255">
        <v>0</v>
      </c>
      <c r="Q680" s="255">
        <v>1.1191</v>
      </c>
      <c r="R680" s="258"/>
      <c r="S680" s="254"/>
      <c r="T680" s="222"/>
      <c r="U680" s="222"/>
      <c r="V680" s="222"/>
    </row>
    <row r="681" spans="1:30" s="14" customFormat="1" ht="86.45" customHeight="1" x14ac:dyDescent="0.7">
      <c r="A681" s="331"/>
      <c r="B681" s="325"/>
      <c r="C681" s="331"/>
      <c r="D681" s="349"/>
      <c r="E681" s="351"/>
      <c r="F681" s="254" t="s">
        <v>24</v>
      </c>
      <c r="G681" s="254">
        <v>5</v>
      </c>
      <c r="H681" s="255">
        <v>38.360300000000002</v>
      </c>
      <c r="I681" s="255">
        <v>0</v>
      </c>
      <c r="J681" s="255">
        <v>0</v>
      </c>
      <c r="K681" s="255">
        <v>0</v>
      </c>
      <c r="L681" s="255">
        <v>0</v>
      </c>
      <c r="M681" s="255">
        <v>0</v>
      </c>
      <c r="N681" s="255">
        <v>0</v>
      </c>
      <c r="O681" s="255">
        <v>3.4523999999999999</v>
      </c>
      <c r="P681" s="255">
        <v>0</v>
      </c>
      <c r="Q681" s="255">
        <v>3.4523999999999999</v>
      </c>
      <c r="R681" s="258"/>
      <c r="S681" s="254"/>
      <c r="T681" s="222"/>
      <c r="U681" s="222"/>
      <c r="V681" s="222"/>
    </row>
    <row r="682" spans="1:30" s="14" customFormat="1" ht="86.45" customHeight="1" x14ac:dyDescent="0.7">
      <c r="A682" s="331"/>
      <c r="B682" s="325"/>
      <c r="C682" s="331"/>
      <c r="D682" s="349"/>
      <c r="E682" s="351"/>
      <c r="F682" s="254" t="s">
        <v>27</v>
      </c>
      <c r="G682" s="254">
        <v>5</v>
      </c>
      <c r="H682" s="255">
        <v>36.214399999999998</v>
      </c>
      <c r="I682" s="255">
        <v>0</v>
      </c>
      <c r="J682" s="255">
        <v>0</v>
      </c>
      <c r="K682" s="255">
        <v>0</v>
      </c>
      <c r="L682" s="255">
        <v>0</v>
      </c>
      <c r="M682" s="255">
        <v>0</v>
      </c>
      <c r="N682" s="255">
        <v>0</v>
      </c>
      <c r="O682" s="255">
        <v>3.2593000000000001</v>
      </c>
      <c r="P682" s="255">
        <v>0</v>
      </c>
      <c r="Q682" s="255">
        <v>3.2593000000000001</v>
      </c>
      <c r="R682" s="258"/>
      <c r="S682" s="254"/>
      <c r="T682" s="222"/>
      <c r="U682" s="222"/>
      <c r="V682" s="222"/>
    </row>
    <row r="683" spans="1:30" s="14" customFormat="1" ht="86.45" customHeight="1" x14ac:dyDescent="0.75">
      <c r="A683" s="330">
        <v>255</v>
      </c>
      <c r="B683" s="324" t="s">
        <v>1394</v>
      </c>
      <c r="C683" s="330" t="s">
        <v>511</v>
      </c>
      <c r="D683" s="347">
        <v>3019031500</v>
      </c>
      <c r="E683" s="347" t="s">
        <v>1298</v>
      </c>
      <c r="F683" s="216" t="s">
        <v>18</v>
      </c>
      <c r="G683" s="216">
        <v>5</v>
      </c>
      <c r="H683" s="233">
        <v>25.960768000000002</v>
      </c>
      <c r="I683" s="233">
        <f>+H683*0.005</f>
        <v>0.12980384</v>
      </c>
      <c r="J683" s="233">
        <v>0</v>
      </c>
      <c r="K683" s="233">
        <v>0</v>
      </c>
      <c r="L683" s="233">
        <f>+H683*(8.5/100)</f>
        <v>2.2066652800000002</v>
      </c>
      <c r="M683" s="237">
        <v>0</v>
      </c>
      <c r="N683" s="233">
        <v>0</v>
      </c>
      <c r="O683" s="233">
        <f>+I683+L683</f>
        <v>2.3364691200000003</v>
      </c>
      <c r="P683" s="233">
        <f>+((J683+K683)+(M683+N683))</f>
        <v>0</v>
      </c>
      <c r="Q683" s="233">
        <f>+O683-P683</f>
        <v>2.3364691200000003</v>
      </c>
      <c r="R683" s="217" t="s">
        <v>19</v>
      </c>
      <c r="S683" s="216" t="s">
        <v>346</v>
      </c>
      <c r="T683" s="222" t="s">
        <v>344</v>
      </c>
      <c r="U683" s="222"/>
      <c r="V683" s="222"/>
      <c r="W683" s="15"/>
      <c r="X683" s="15"/>
      <c r="Y683" s="15"/>
      <c r="Z683" s="15"/>
      <c r="AA683" s="15"/>
      <c r="AB683" s="15"/>
      <c r="AC683" s="15"/>
      <c r="AD683" s="15"/>
    </row>
    <row r="684" spans="1:30" s="14" customFormat="1" ht="86.45" customHeight="1" x14ac:dyDescent="0.75">
      <c r="A684" s="331"/>
      <c r="B684" s="325"/>
      <c r="C684" s="331"/>
      <c r="D684" s="349"/>
      <c r="E684" s="349"/>
      <c r="F684" s="216" t="s">
        <v>20</v>
      </c>
      <c r="G684" s="216">
        <v>4.5</v>
      </c>
      <c r="H684" s="233">
        <v>29.710070000000002</v>
      </c>
      <c r="I684" s="233">
        <f t="shared" ref="I684:I700" si="113">+H684*0.005</f>
        <v>0.14855035000000003</v>
      </c>
      <c r="J684" s="233">
        <v>0</v>
      </c>
      <c r="K684" s="233">
        <v>0</v>
      </c>
      <c r="L684" s="233">
        <f t="shared" ref="L684:L700" si="114">+H684*(8.5/100)</f>
        <v>2.5253559500000002</v>
      </c>
      <c r="M684" s="237">
        <v>0</v>
      </c>
      <c r="N684" s="233">
        <v>0</v>
      </c>
      <c r="O684" s="233">
        <f t="shared" si="105"/>
        <v>2.6739063000000001</v>
      </c>
      <c r="P684" s="233">
        <f t="shared" si="111"/>
        <v>0</v>
      </c>
      <c r="Q684" s="233">
        <f t="shared" si="112"/>
        <v>2.6739063000000001</v>
      </c>
      <c r="R684" s="217" t="s">
        <v>19</v>
      </c>
      <c r="S684" s="216" t="s">
        <v>449</v>
      </c>
      <c r="T684" s="222" t="s">
        <v>344</v>
      </c>
      <c r="U684" s="222"/>
      <c r="V684" s="222"/>
      <c r="W684" s="15"/>
      <c r="X684" s="15"/>
      <c r="Y684" s="15"/>
      <c r="Z684" s="15"/>
      <c r="AA684" s="15"/>
      <c r="AB684" s="15"/>
      <c r="AC684" s="15"/>
      <c r="AD684" s="15"/>
    </row>
    <row r="685" spans="1:30" s="14" customFormat="1" ht="86.45" customHeight="1" x14ac:dyDescent="0.75">
      <c r="A685" s="331"/>
      <c r="B685" s="325"/>
      <c r="C685" s="331"/>
      <c r="D685" s="349"/>
      <c r="E685" s="364" t="s">
        <v>1355</v>
      </c>
      <c r="F685" s="254" t="s">
        <v>18</v>
      </c>
      <c r="G685" s="254">
        <v>4</v>
      </c>
      <c r="H685" s="255">
        <v>22.544799999999999</v>
      </c>
      <c r="I685" s="255">
        <v>0.11269999999999999</v>
      </c>
      <c r="J685" s="255">
        <v>0</v>
      </c>
      <c r="K685" s="255">
        <v>0</v>
      </c>
      <c r="L685" s="255">
        <v>1.9162999999999999</v>
      </c>
      <c r="M685" s="256">
        <v>0</v>
      </c>
      <c r="N685" s="255">
        <v>0</v>
      </c>
      <c r="O685" s="255">
        <v>2.0289999999999999</v>
      </c>
      <c r="P685" s="255">
        <v>0</v>
      </c>
      <c r="Q685" s="255">
        <f>O685-P685</f>
        <v>2.0289999999999999</v>
      </c>
      <c r="R685" s="258"/>
      <c r="S685" s="254"/>
      <c r="T685" s="222"/>
      <c r="U685" s="222"/>
      <c r="V685" s="222"/>
      <c r="W685" s="15"/>
      <c r="X685" s="15"/>
      <c r="Y685" s="15"/>
      <c r="Z685" s="15"/>
      <c r="AA685" s="15"/>
      <c r="AB685" s="15"/>
      <c r="AC685" s="15"/>
      <c r="AD685" s="15"/>
    </row>
    <row r="686" spans="1:30" s="14" customFormat="1" ht="86.45" customHeight="1" x14ac:dyDescent="0.75">
      <c r="A686" s="331"/>
      <c r="B686" s="325"/>
      <c r="C686" s="331"/>
      <c r="D686" s="349"/>
      <c r="E686" s="364"/>
      <c r="F686" s="254" t="s">
        <v>20</v>
      </c>
      <c r="G686" s="254" t="s">
        <v>1356</v>
      </c>
      <c r="H686" s="255">
        <v>25.359200000000001</v>
      </c>
      <c r="I686" s="255">
        <v>0.1268</v>
      </c>
      <c r="J686" s="255">
        <v>0</v>
      </c>
      <c r="K686" s="255">
        <v>0</v>
      </c>
      <c r="L686" s="255">
        <v>2.1555499999999999</v>
      </c>
      <c r="M686" s="256">
        <v>0</v>
      </c>
      <c r="N686" s="255">
        <v>0</v>
      </c>
      <c r="O686" s="255">
        <v>2.2823000000000002</v>
      </c>
      <c r="P686" s="255">
        <v>0</v>
      </c>
      <c r="Q686" s="255">
        <f t="shared" ref="Q686" si="115">O686-P686</f>
        <v>2.2823000000000002</v>
      </c>
      <c r="R686" s="258"/>
      <c r="S686" s="254"/>
      <c r="T686" s="222"/>
      <c r="U686" s="222"/>
      <c r="V686" s="222"/>
      <c r="W686" s="15"/>
      <c r="X686" s="15"/>
      <c r="Y686" s="15"/>
      <c r="Z686" s="15"/>
      <c r="AA686" s="15"/>
      <c r="AB686" s="15"/>
      <c r="AC686" s="15"/>
      <c r="AD686" s="15"/>
    </row>
    <row r="687" spans="1:30" s="14" customFormat="1" ht="86.45" customHeight="1" x14ac:dyDescent="0.75">
      <c r="A687" s="330">
        <v>256</v>
      </c>
      <c r="B687" s="324" t="s">
        <v>1393</v>
      </c>
      <c r="C687" s="330" t="s">
        <v>511</v>
      </c>
      <c r="D687" s="347">
        <v>3019029150</v>
      </c>
      <c r="E687" s="347" t="s">
        <v>1298</v>
      </c>
      <c r="F687" s="216" t="s">
        <v>18</v>
      </c>
      <c r="G687" s="216">
        <v>4.92</v>
      </c>
      <c r="H687" s="233">
        <v>14.000482999999999</v>
      </c>
      <c r="I687" s="233">
        <f>+H687*0.005</f>
        <v>7.0002414999999998E-2</v>
      </c>
      <c r="J687" s="233">
        <v>0</v>
      </c>
      <c r="K687" s="233">
        <v>0</v>
      </c>
      <c r="L687" s="233">
        <f>+H687*(8.5/100)</f>
        <v>1.190041055</v>
      </c>
      <c r="M687" s="237">
        <v>0</v>
      </c>
      <c r="N687" s="233">
        <v>0</v>
      </c>
      <c r="O687" s="233">
        <f>+I687+L687</f>
        <v>1.2600434700000001</v>
      </c>
      <c r="P687" s="233">
        <f>+((J687+K687)+(M687+N687))</f>
        <v>0</v>
      </c>
      <c r="Q687" s="233">
        <f>+O687-P687</f>
        <v>1.2600434700000001</v>
      </c>
      <c r="R687" s="217" t="s">
        <v>19</v>
      </c>
      <c r="S687" s="216" t="s">
        <v>346</v>
      </c>
      <c r="T687" s="222" t="s">
        <v>344</v>
      </c>
      <c r="U687" s="222"/>
      <c r="V687" s="222"/>
      <c r="W687" s="15"/>
      <c r="X687" s="15"/>
      <c r="Y687" s="15"/>
      <c r="Z687" s="15"/>
      <c r="AA687" s="15"/>
      <c r="AB687" s="15"/>
      <c r="AC687" s="15"/>
      <c r="AD687" s="15"/>
    </row>
    <row r="688" spans="1:30" s="14" customFormat="1" ht="86.45" customHeight="1" x14ac:dyDescent="0.75">
      <c r="A688" s="331"/>
      <c r="B688" s="325"/>
      <c r="C688" s="331"/>
      <c r="D688" s="349"/>
      <c r="E688" s="348"/>
      <c r="F688" s="216" t="s">
        <v>20</v>
      </c>
      <c r="G688" s="216">
        <v>2.2000000000000002</v>
      </c>
      <c r="H688" s="233">
        <v>15.930994999999999</v>
      </c>
      <c r="I688" s="233">
        <f t="shared" si="113"/>
        <v>7.9654975000000003E-2</v>
      </c>
      <c r="J688" s="233">
        <v>0</v>
      </c>
      <c r="K688" s="233">
        <v>0</v>
      </c>
      <c r="L688" s="233">
        <f t="shared" si="114"/>
        <v>1.354134575</v>
      </c>
      <c r="M688" s="237">
        <v>0</v>
      </c>
      <c r="N688" s="233">
        <v>0</v>
      </c>
      <c r="O688" s="233">
        <f t="shared" si="105"/>
        <v>1.43378955</v>
      </c>
      <c r="P688" s="233">
        <f t="shared" si="111"/>
        <v>0</v>
      </c>
      <c r="Q688" s="233">
        <f t="shared" si="112"/>
        <v>1.43378955</v>
      </c>
      <c r="R688" s="217" t="s">
        <v>19</v>
      </c>
      <c r="S688" s="216" t="s">
        <v>449</v>
      </c>
      <c r="T688" s="222" t="s">
        <v>344</v>
      </c>
      <c r="U688" s="222"/>
      <c r="V688" s="222"/>
      <c r="W688" s="15"/>
      <c r="X688" s="15"/>
      <c r="Y688" s="15"/>
      <c r="Z688" s="15"/>
      <c r="AA688" s="15"/>
      <c r="AB688" s="15"/>
      <c r="AC688" s="15"/>
      <c r="AD688" s="15"/>
    </row>
    <row r="689" spans="1:30" s="14" customFormat="1" ht="86.45" customHeight="1" x14ac:dyDescent="0.75">
      <c r="A689" s="331"/>
      <c r="B689" s="325"/>
      <c r="C689" s="331"/>
      <c r="D689" s="349"/>
      <c r="E689" s="350" t="s">
        <v>1355</v>
      </c>
      <c r="F689" s="254" t="s">
        <v>18</v>
      </c>
      <c r="G689" s="254">
        <v>2.21</v>
      </c>
      <c r="H689" s="255">
        <v>11.672800000000001</v>
      </c>
      <c r="I689" s="255">
        <v>5.8400000000000001E-2</v>
      </c>
      <c r="J689" s="255">
        <v>0</v>
      </c>
      <c r="K689" s="255">
        <v>0</v>
      </c>
      <c r="L689" s="255">
        <v>0.99219999999999997</v>
      </c>
      <c r="M689" s="255">
        <v>0</v>
      </c>
      <c r="N689" s="255">
        <v>0</v>
      </c>
      <c r="O689" s="255">
        <v>1.0506</v>
      </c>
      <c r="P689" s="255">
        <v>0</v>
      </c>
      <c r="Q689" s="255">
        <f t="shared" si="112"/>
        <v>1.0506</v>
      </c>
      <c r="R689" s="258"/>
      <c r="S689" s="254"/>
      <c r="T689" s="222"/>
      <c r="U689" s="222"/>
      <c r="V689" s="222"/>
      <c r="W689" s="15"/>
      <c r="X689" s="15"/>
      <c r="Y689" s="15"/>
      <c r="Z689" s="15"/>
      <c r="AA689" s="15"/>
      <c r="AB689" s="15"/>
      <c r="AC689" s="15"/>
      <c r="AD689" s="15"/>
    </row>
    <row r="690" spans="1:30" s="14" customFormat="1" ht="86.45" customHeight="1" x14ac:dyDescent="0.75">
      <c r="A690" s="331"/>
      <c r="B690" s="325"/>
      <c r="C690" s="331"/>
      <c r="D690" s="349"/>
      <c r="E690" s="351"/>
      <c r="F690" s="254" t="s">
        <v>20</v>
      </c>
      <c r="G690" s="254">
        <v>2.21</v>
      </c>
      <c r="H690" s="255">
        <v>12.6799</v>
      </c>
      <c r="I690" s="255">
        <v>6.3399999999999998E-2</v>
      </c>
      <c r="J690" s="255">
        <v>0</v>
      </c>
      <c r="K690" s="255">
        <v>0</v>
      </c>
      <c r="L690" s="255">
        <v>1.0778000000000001</v>
      </c>
      <c r="M690" s="255">
        <v>0</v>
      </c>
      <c r="N690" s="255">
        <v>0</v>
      </c>
      <c r="O690" s="255">
        <v>1.1412</v>
      </c>
      <c r="P690" s="255">
        <v>0</v>
      </c>
      <c r="Q690" s="255">
        <f t="shared" si="112"/>
        <v>1.1412</v>
      </c>
      <c r="R690" s="258"/>
      <c r="S690" s="254"/>
      <c r="T690" s="222"/>
      <c r="U690" s="222"/>
      <c r="V690" s="222"/>
      <c r="W690" s="15"/>
      <c r="X690" s="15"/>
      <c r="Y690" s="15"/>
      <c r="Z690" s="15"/>
      <c r="AA690" s="15"/>
      <c r="AB690" s="15"/>
      <c r="AC690" s="15"/>
      <c r="AD690" s="15"/>
    </row>
    <row r="691" spans="1:30" s="14" customFormat="1" ht="86.45" customHeight="1" x14ac:dyDescent="0.75">
      <c r="A691" s="330">
        <v>257</v>
      </c>
      <c r="B691" s="324" t="s">
        <v>1398</v>
      </c>
      <c r="C691" s="330" t="s">
        <v>511</v>
      </c>
      <c r="D691" s="347">
        <v>3019021679</v>
      </c>
      <c r="E691" s="347" t="s">
        <v>1298</v>
      </c>
      <c r="F691" s="216" t="s">
        <v>18</v>
      </c>
      <c r="G691" s="216">
        <v>4.9000000000000004</v>
      </c>
      <c r="H691" s="233">
        <v>18.08953</v>
      </c>
      <c r="I691" s="233">
        <f>+H691*0.005</f>
        <v>9.0447650000000004E-2</v>
      </c>
      <c r="J691" s="233">
        <v>0</v>
      </c>
      <c r="K691" s="233">
        <v>0</v>
      </c>
      <c r="L691" s="233">
        <f>+H691*(8.5/100)</f>
        <v>1.5376100500000001</v>
      </c>
      <c r="M691" s="237">
        <v>0</v>
      </c>
      <c r="N691" s="233">
        <v>0</v>
      </c>
      <c r="O691" s="233">
        <f>+I691+L691</f>
        <v>1.6280577000000001</v>
      </c>
      <c r="P691" s="233">
        <f>+((J691+K691)+(M691+N691))</f>
        <v>0</v>
      </c>
      <c r="Q691" s="233">
        <f>+O691-P691</f>
        <v>1.6280577000000001</v>
      </c>
      <c r="R691" s="217" t="s">
        <v>19</v>
      </c>
      <c r="S691" s="216" t="s">
        <v>346</v>
      </c>
      <c r="T691" s="222" t="s">
        <v>344</v>
      </c>
      <c r="U691" s="222"/>
      <c r="V691" s="222"/>
      <c r="W691" s="15"/>
      <c r="X691" s="15"/>
      <c r="Y691" s="15"/>
      <c r="Z691" s="15"/>
      <c r="AA691" s="15"/>
      <c r="AB691" s="15"/>
      <c r="AC691" s="15"/>
      <c r="AD691" s="15"/>
    </row>
    <row r="692" spans="1:30" s="14" customFormat="1" ht="86.45" customHeight="1" x14ac:dyDescent="0.75">
      <c r="A692" s="331"/>
      <c r="B692" s="325"/>
      <c r="C692" s="331"/>
      <c r="D692" s="349"/>
      <c r="E692" s="348"/>
      <c r="F692" s="216" t="s">
        <v>20</v>
      </c>
      <c r="G692" s="216">
        <v>4.9000000000000004</v>
      </c>
      <c r="H692" s="233">
        <v>22.928773</v>
      </c>
      <c r="I692" s="233">
        <f t="shared" si="113"/>
        <v>0.114643865</v>
      </c>
      <c r="J692" s="233">
        <v>0</v>
      </c>
      <c r="K692" s="233">
        <v>0</v>
      </c>
      <c r="L692" s="233">
        <f t="shared" si="114"/>
        <v>1.9489457050000001</v>
      </c>
      <c r="M692" s="237">
        <v>0</v>
      </c>
      <c r="N692" s="233">
        <v>0</v>
      </c>
      <c r="O692" s="233">
        <f t="shared" si="105"/>
        <v>2.06358957</v>
      </c>
      <c r="P692" s="233">
        <f t="shared" si="111"/>
        <v>0</v>
      </c>
      <c r="Q692" s="233">
        <f t="shared" si="112"/>
        <v>2.06358957</v>
      </c>
      <c r="R692" s="217" t="s">
        <v>19</v>
      </c>
      <c r="S692" s="216" t="s">
        <v>446</v>
      </c>
      <c r="T692" s="222" t="s">
        <v>344</v>
      </c>
      <c r="U692" s="222"/>
      <c r="V692" s="222"/>
      <c r="W692" s="15"/>
      <c r="X692" s="15"/>
      <c r="Y692" s="15"/>
      <c r="Z692" s="15"/>
      <c r="AA692" s="15"/>
      <c r="AB692" s="15"/>
      <c r="AC692" s="15"/>
      <c r="AD692" s="15"/>
    </row>
    <row r="693" spans="1:30" s="14" customFormat="1" ht="86.45" customHeight="1" x14ac:dyDescent="0.75">
      <c r="A693" s="331"/>
      <c r="B693" s="325"/>
      <c r="C693" s="331"/>
      <c r="D693" s="349"/>
      <c r="E693" s="350" t="s">
        <v>1355</v>
      </c>
      <c r="F693" s="254" t="s">
        <v>18</v>
      </c>
      <c r="G693" s="254">
        <v>4.9000000000000004</v>
      </c>
      <c r="H693" s="255">
        <v>14.429500000000001</v>
      </c>
      <c r="I693" s="255">
        <v>7.2099999999999997E-2</v>
      </c>
      <c r="J693" s="255">
        <v>0</v>
      </c>
      <c r="K693" s="255">
        <v>0</v>
      </c>
      <c r="L693" s="255">
        <v>1.2264999999999999</v>
      </c>
      <c r="M693" s="255">
        <v>0</v>
      </c>
      <c r="N693" s="255">
        <v>0</v>
      </c>
      <c r="O693" s="255">
        <v>1.2987</v>
      </c>
      <c r="P693" s="255">
        <v>0</v>
      </c>
      <c r="Q693" s="255">
        <f>O693-P693</f>
        <v>1.2987</v>
      </c>
      <c r="R693" s="258"/>
      <c r="S693" s="254"/>
      <c r="T693" s="222"/>
      <c r="U693" s="222"/>
      <c r="V693" s="222"/>
      <c r="W693" s="15"/>
      <c r="X693" s="15"/>
      <c r="Y693" s="15"/>
      <c r="Z693" s="15"/>
      <c r="AA693" s="15"/>
      <c r="AB693" s="15"/>
      <c r="AC693" s="15"/>
      <c r="AD693" s="15"/>
    </row>
    <row r="694" spans="1:30" s="14" customFormat="1" ht="86.45" customHeight="1" x14ac:dyDescent="0.75">
      <c r="A694" s="331"/>
      <c r="B694" s="325"/>
      <c r="C694" s="331"/>
      <c r="D694" s="349"/>
      <c r="E694" s="351"/>
      <c r="F694" s="254" t="s">
        <v>20</v>
      </c>
      <c r="G694" s="254">
        <v>4.9000000000000004</v>
      </c>
      <c r="H694" s="255">
        <v>18.726299999999998</v>
      </c>
      <c r="I694" s="255">
        <v>9.3600000000000003E-2</v>
      </c>
      <c r="J694" s="255">
        <v>0</v>
      </c>
      <c r="K694" s="255">
        <v>0</v>
      </c>
      <c r="L694" s="255">
        <v>1.5916999999999999</v>
      </c>
      <c r="M694" s="255">
        <v>0</v>
      </c>
      <c r="N694" s="255">
        <v>0</v>
      </c>
      <c r="O694" s="255">
        <v>1.6854</v>
      </c>
      <c r="P694" s="255">
        <v>0</v>
      </c>
      <c r="Q694" s="255">
        <f t="shared" ref="Q694" si="116">O694-P694</f>
        <v>1.6854</v>
      </c>
      <c r="R694" s="258"/>
      <c r="S694" s="254"/>
      <c r="T694" s="222"/>
      <c r="U694" s="222"/>
      <c r="V694" s="222"/>
      <c r="W694" s="15"/>
      <c r="X694" s="15"/>
      <c r="Y694" s="15"/>
      <c r="Z694" s="15"/>
      <c r="AA694" s="15"/>
      <c r="AB694" s="15"/>
      <c r="AC694" s="15"/>
      <c r="AD694" s="15"/>
    </row>
    <row r="695" spans="1:30" s="14" customFormat="1" ht="86.45" customHeight="1" x14ac:dyDescent="0.75">
      <c r="A695" s="330">
        <v>258</v>
      </c>
      <c r="B695" s="324" t="s">
        <v>1397</v>
      </c>
      <c r="C695" s="330" t="s">
        <v>511</v>
      </c>
      <c r="D695" s="347">
        <v>3209023420</v>
      </c>
      <c r="E695" s="347" t="s">
        <v>1298</v>
      </c>
      <c r="F695" s="216" t="s">
        <v>18</v>
      </c>
      <c r="G695" s="216">
        <v>3</v>
      </c>
      <c r="H695" s="233">
        <v>18.430748000000001</v>
      </c>
      <c r="I695" s="233">
        <f>+H695*0.005</f>
        <v>9.2153740000000012E-2</v>
      </c>
      <c r="J695" s="233">
        <v>0</v>
      </c>
      <c r="K695" s="233">
        <v>0</v>
      </c>
      <c r="L695" s="233">
        <f>+H695*(8.5/100)</f>
        <v>1.5666135800000003</v>
      </c>
      <c r="M695" s="237">
        <v>0</v>
      </c>
      <c r="N695" s="233">
        <v>0</v>
      </c>
      <c r="O695" s="233">
        <f>+I695+L695</f>
        <v>1.6587673200000004</v>
      </c>
      <c r="P695" s="233">
        <f>+((J695+K695)+(M695+N695))</f>
        <v>0</v>
      </c>
      <c r="Q695" s="233">
        <f>+O695-P695</f>
        <v>1.6587673200000004</v>
      </c>
      <c r="R695" s="217" t="s">
        <v>19</v>
      </c>
      <c r="S695" s="216" t="s">
        <v>346</v>
      </c>
      <c r="T695" s="222" t="s">
        <v>344</v>
      </c>
      <c r="U695" s="222"/>
      <c r="V695" s="222"/>
      <c r="W695" s="15"/>
      <c r="X695" s="15"/>
      <c r="Y695" s="15"/>
      <c r="Z695" s="15"/>
      <c r="AA695" s="15"/>
      <c r="AB695" s="15"/>
      <c r="AC695" s="15"/>
      <c r="AD695" s="15"/>
    </row>
    <row r="696" spans="1:30" s="14" customFormat="1" ht="86.45" customHeight="1" x14ac:dyDescent="0.75">
      <c r="A696" s="331"/>
      <c r="B696" s="325"/>
      <c r="C696" s="331"/>
      <c r="D696" s="349"/>
      <c r="E696" s="348"/>
      <c r="F696" s="216" t="s">
        <v>20</v>
      </c>
      <c r="G696" s="216">
        <v>2.7</v>
      </c>
      <c r="H696" s="233">
        <v>9.3836739999999992</v>
      </c>
      <c r="I696" s="233">
        <f t="shared" si="113"/>
        <v>4.6918369999999994E-2</v>
      </c>
      <c r="J696" s="233">
        <v>0</v>
      </c>
      <c r="K696" s="233">
        <v>0</v>
      </c>
      <c r="L696" s="233">
        <f t="shared" si="114"/>
        <v>0.79761229</v>
      </c>
      <c r="M696" s="237">
        <v>0</v>
      </c>
      <c r="N696" s="233">
        <v>0</v>
      </c>
      <c r="O696" s="233">
        <f t="shared" si="105"/>
        <v>0.84453065999999999</v>
      </c>
      <c r="P696" s="233">
        <f t="shared" si="111"/>
        <v>0</v>
      </c>
      <c r="Q696" s="233">
        <f t="shared" si="112"/>
        <v>0.84453065999999999</v>
      </c>
      <c r="R696" s="217" t="s">
        <v>19</v>
      </c>
      <c r="S696" s="216" t="s">
        <v>449</v>
      </c>
      <c r="T696" s="222" t="s">
        <v>344</v>
      </c>
      <c r="U696" s="222"/>
      <c r="V696" s="222"/>
      <c r="W696" s="15"/>
      <c r="X696" s="15"/>
      <c r="Y696" s="15"/>
      <c r="Z696" s="15"/>
      <c r="AA696" s="15"/>
      <c r="AB696" s="15"/>
      <c r="AC696" s="15"/>
      <c r="AD696" s="15"/>
    </row>
    <row r="697" spans="1:30" s="14" customFormat="1" ht="86.45" customHeight="1" x14ac:dyDescent="0.75">
      <c r="A697" s="331"/>
      <c r="B697" s="325"/>
      <c r="C697" s="331"/>
      <c r="D697" s="349"/>
      <c r="E697" s="350" t="s">
        <v>1355</v>
      </c>
      <c r="F697" s="254" t="s">
        <v>18</v>
      </c>
      <c r="G697" s="254">
        <v>2.4300000000000002</v>
      </c>
      <c r="H697" s="255">
        <v>16.291499999999999</v>
      </c>
      <c r="I697" s="255">
        <v>8.1500000000000003E-2</v>
      </c>
      <c r="J697" s="255">
        <v>0</v>
      </c>
      <c r="K697" s="255">
        <v>0</v>
      </c>
      <c r="L697" s="255">
        <v>1.3848</v>
      </c>
      <c r="M697" s="255">
        <v>0</v>
      </c>
      <c r="N697" s="255">
        <v>0</v>
      </c>
      <c r="O697" s="255">
        <v>1.4661999999999999</v>
      </c>
      <c r="P697" s="255">
        <v>0</v>
      </c>
      <c r="Q697" s="255">
        <f t="shared" si="112"/>
        <v>1.4661999999999999</v>
      </c>
      <c r="R697" s="258"/>
      <c r="S697" s="254"/>
      <c r="T697" s="222"/>
      <c r="U697" s="222"/>
      <c r="V697" s="222"/>
      <c r="W697" s="15"/>
      <c r="X697" s="15"/>
      <c r="Y697" s="15"/>
      <c r="Z697" s="15"/>
      <c r="AA697" s="15"/>
      <c r="AB697" s="15"/>
      <c r="AC697" s="15"/>
      <c r="AD697" s="15"/>
    </row>
    <row r="698" spans="1:30" s="14" customFormat="1" ht="86.45" customHeight="1" x14ac:dyDescent="0.75">
      <c r="A698" s="331"/>
      <c r="B698" s="325"/>
      <c r="C698" s="331"/>
      <c r="D698" s="349"/>
      <c r="E698" s="351"/>
      <c r="F698" s="254" t="s">
        <v>20</v>
      </c>
      <c r="G698" s="254">
        <v>2.7</v>
      </c>
      <c r="H698" s="255">
        <v>8.1311</v>
      </c>
      <c r="I698" s="255">
        <v>4.07E-2</v>
      </c>
      <c r="J698" s="255">
        <v>0</v>
      </c>
      <c r="K698" s="255">
        <v>0</v>
      </c>
      <c r="L698" s="255">
        <v>0.69110000000000005</v>
      </c>
      <c r="M698" s="255">
        <v>0</v>
      </c>
      <c r="N698" s="255">
        <v>0</v>
      </c>
      <c r="O698" s="255">
        <v>0.73180000000000001</v>
      </c>
      <c r="P698" s="255">
        <v>0</v>
      </c>
      <c r="Q698" s="255">
        <f t="shared" si="112"/>
        <v>0.73180000000000001</v>
      </c>
      <c r="R698" s="258"/>
      <c r="S698" s="254"/>
      <c r="T698" s="222"/>
      <c r="U698" s="222"/>
      <c r="V698" s="222"/>
      <c r="W698" s="15"/>
      <c r="X698" s="15"/>
      <c r="Y698" s="15"/>
      <c r="Z698" s="15"/>
      <c r="AA698" s="15"/>
      <c r="AB698" s="15"/>
      <c r="AC698" s="15"/>
      <c r="AD698" s="15"/>
    </row>
    <row r="699" spans="1:30" s="14" customFormat="1" ht="86.45" customHeight="1" x14ac:dyDescent="0.75">
      <c r="A699" s="330">
        <v>259</v>
      </c>
      <c r="B699" s="324" t="s">
        <v>1396</v>
      </c>
      <c r="C699" s="330" t="s">
        <v>511</v>
      </c>
      <c r="D699" s="347">
        <v>3019001961</v>
      </c>
      <c r="E699" s="347" t="s">
        <v>1298</v>
      </c>
      <c r="F699" s="216" t="s">
        <v>18</v>
      </c>
      <c r="G699" s="216">
        <v>4.9669999999999996</v>
      </c>
      <c r="H699" s="233">
        <v>28.696798999999999</v>
      </c>
      <c r="I699" s="233">
        <f>+H699*0.005</f>
        <v>0.143483995</v>
      </c>
      <c r="J699" s="233">
        <v>0</v>
      </c>
      <c r="K699" s="233">
        <v>0</v>
      </c>
      <c r="L699" s="233">
        <f>+H699*(8.5/100)</f>
        <v>2.439227915</v>
      </c>
      <c r="M699" s="237">
        <v>0</v>
      </c>
      <c r="N699" s="233">
        <v>0</v>
      </c>
      <c r="O699" s="233">
        <f>+I699+L699</f>
        <v>2.58271191</v>
      </c>
      <c r="P699" s="233">
        <f>+((J699+K699)+(M699+N699))</f>
        <v>0</v>
      </c>
      <c r="Q699" s="233">
        <f>+O699-P699</f>
        <v>2.58271191</v>
      </c>
      <c r="R699" s="217" t="s">
        <v>19</v>
      </c>
      <c r="S699" s="216" t="s">
        <v>346</v>
      </c>
      <c r="T699" s="222" t="s">
        <v>344</v>
      </c>
      <c r="U699" s="222"/>
      <c r="V699" s="222"/>
      <c r="W699" s="15"/>
      <c r="X699" s="15"/>
      <c r="Y699" s="15"/>
      <c r="Z699" s="15"/>
      <c r="AA699" s="15"/>
      <c r="AB699" s="15"/>
      <c r="AC699" s="15"/>
      <c r="AD699" s="15"/>
    </row>
    <row r="700" spans="1:30" s="14" customFormat="1" ht="86.45" customHeight="1" x14ac:dyDescent="0.75">
      <c r="A700" s="331"/>
      <c r="B700" s="325"/>
      <c r="C700" s="331"/>
      <c r="D700" s="349"/>
      <c r="E700" s="348"/>
      <c r="F700" s="216" t="s">
        <v>20</v>
      </c>
      <c r="G700" s="216">
        <v>4</v>
      </c>
      <c r="H700" s="233">
        <v>33.076061000000003</v>
      </c>
      <c r="I700" s="233">
        <f t="shared" si="113"/>
        <v>0.16538030500000001</v>
      </c>
      <c r="J700" s="233">
        <v>0</v>
      </c>
      <c r="K700" s="233">
        <v>0</v>
      </c>
      <c r="L700" s="233">
        <f t="shared" si="114"/>
        <v>2.8114651850000003</v>
      </c>
      <c r="M700" s="237">
        <v>0</v>
      </c>
      <c r="N700" s="233">
        <v>0</v>
      </c>
      <c r="O700" s="233">
        <f t="shared" si="105"/>
        <v>2.9768454900000005</v>
      </c>
      <c r="P700" s="233">
        <f t="shared" si="111"/>
        <v>0</v>
      </c>
      <c r="Q700" s="233">
        <f t="shared" si="112"/>
        <v>2.9768454900000005</v>
      </c>
      <c r="R700" s="217" t="s">
        <v>19</v>
      </c>
      <c r="S700" s="216" t="s">
        <v>449</v>
      </c>
      <c r="T700" s="222" t="s">
        <v>344</v>
      </c>
      <c r="U700" s="222"/>
      <c r="V700" s="222"/>
      <c r="W700" s="15"/>
      <c r="X700" s="15"/>
      <c r="Y700" s="15"/>
      <c r="Z700" s="15"/>
      <c r="AA700" s="15"/>
      <c r="AB700" s="15"/>
      <c r="AC700" s="15"/>
      <c r="AD700" s="15"/>
    </row>
    <row r="701" spans="1:30" s="14" customFormat="1" ht="86.45" customHeight="1" x14ac:dyDescent="0.75">
      <c r="A701" s="331"/>
      <c r="B701" s="325"/>
      <c r="C701" s="331"/>
      <c r="D701" s="349"/>
      <c r="E701" s="350" t="s">
        <v>1355</v>
      </c>
      <c r="F701" s="254" t="s">
        <v>18</v>
      </c>
      <c r="G701" s="254">
        <v>4</v>
      </c>
      <c r="H701" s="255">
        <v>24.138200000000001</v>
      </c>
      <c r="I701" s="255">
        <v>0.1207</v>
      </c>
      <c r="J701" s="255">
        <v>0</v>
      </c>
      <c r="K701" s="255">
        <v>0</v>
      </c>
      <c r="L701" s="255">
        <v>2.0516999999999999</v>
      </c>
      <c r="M701" s="255">
        <v>0</v>
      </c>
      <c r="N701" s="255">
        <v>0</v>
      </c>
      <c r="O701" s="255">
        <v>2.1724000000000001</v>
      </c>
      <c r="P701" s="255">
        <v>0</v>
      </c>
      <c r="Q701" s="255">
        <f t="shared" si="112"/>
        <v>2.1724000000000001</v>
      </c>
      <c r="R701" s="258"/>
      <c r="S701" s="254"/>
      <c r="T701" s="222"/>
      <c r="U701" s="222"/>
      <c r="V701" s="222"/>
      <c r="W701" s="15"/>
      <c r="X701" s="15"/>
      <c r="Y701" s="15"/>
      <c r="Z701" s="15"/>
      <c r="AA701" s="15"/>
      <c r="AB701" s="15"/>
      <c r="AC701" s="15"/>
      <c r="AD701" s="15"/>
    </row>
    <row r="702" spans="1:30" s="14" customFormat="1" ht="86.45" customHeight="1" x14ac:dyDescent="0.75">
      <c r="A702" s="331"/>
      <c r="B702" s="325"/>
      <c r="C702" s="331"/>
      <c r="D702" s="349"/>
      <c r="E702" s="351"/>
      <c r="F702" s="254" t="s">
        <v>20</v>
      </c>
      <c r="G702" s="254">
        <v>4</v>
      </c>
      <c r="H702" s="255">
        <v>28.101099999999999</v>
      </c>
      <c r="I702" s="255">
        <v>0.14050000000000001</v>
      </c>
      <c r="J702" s="255">
        <v>0</v>
      </c>
      <c r="K702" s="255">
        <v>0</v>
      </c>
      <c r="L702" s="255">
        <v>2.3885999999999998</v>
      </c>
      <c r="M702" s="255">
        <v>0</v>
      </c>
      <c r="N702" s="255">
        <v>0</v>
      </c>
      <c r="O702" s="255">
        <v>2.5291000000000001</v>
      </c>
      <c r="P702" s="255">
        <v>0</v>
      </c>
      <c r="Q702" s="255">
        <f t="shared" si="112"/>
        <v>2.5291000000000001</v>
      </c>
      <c r="R702" s="258"/>
      <c r="S702" s="254"/>
      <c r="T702" s="222"/>
      <c r="U702" s="222"/>
      <c r="V702" s="222"/>
      <c r="W702" s="15"/>
      <c r="X702" s="15"/>
      <c r="Y702" s="15"/>
      <c r="Z702" s="15"/>
      <c r="AA702" s="15"/>
      <c r="AB702" s="15"/>
      <c r="AC702" s="15"/>
      <c r="AD702" s="15"/>
    </row>
    <row r="703" spans="1:30" s="14" customFormat="1" ht="86.45" customHeight="1" x14ac:dyDescent="0.75">
      <c r="A703" s="330">
        <v>260</v>
      </c>
      <c r="B703" s="324" t="s">
        <v>1395</v>
      </c>
      <c r="C703" s="330" t="s">
        <v>511</v>
      </c>
      <c r="D703" s="347">
        <v>3019027510</v>
      </c>
      <c r="E703" s="347" t="s">
        <v>1298</v>
      </c>
      <c r="F703" s="216" t="s">
        <v>18</v>
      </c>
      <c r="G703" s="216">
        <v>50</v>
      </c>
      <c r="H703" s="233">
        <v>159.659819</v>
      </c>
      <c r="I703" s="233">
        <f>+H703*0.005</f>
        <v>0.79829909499999996</v>
      </c>
      <c r="J703" s="233">
        <v>0</v>
      </c>
      <c r="K703" s="233">
        <v>0</v>
      </c>
      <c r="L703" s="233">
        <f>+H703*(8.5/100)</f>
        <v>13.571084615</v>
      </c>
      <c r="M703" s="237">
        <v>0</v>
      </c>
      <c r="N703" s="233">
        <v>0</v>
      </c>
      <c r="O703" s="233">
        <f>+I703+L703</f>
        <v>14.369383710000001</v>
      </c>
      <c r="P703" s="233">
        <f>+((J703+K703)+(M703+N703))</f>
        <v>0</v>
      </c>
      <c r="Q703" s="233">
        <f>+O703-P703</f>
        <v>14.369383710000001</v>
      </c>
      <c r="R703" s="217" t="s">
        <v>19</v>
      </c>
      <c r="S703" s="216" t="s">
        <v>346</v>
      </c>
      <c r="T703" s="222" t="s">
        <v>344</v>
      </c>
      <c r="U703" s="222"/>
      <c r="V703" s="222"/>
      <c r="W703" s="15"/>
      <c r="X703" s="15"/>
      <c r="Y703" s="15"/>
      <c r="Z703" s="15"/>
      <c r="AA703" s="15"/>
      <c r="AB703" s="15"/>
      <c r="AC703" s="15"/>
      <c r="AD703" s="15"/>
    </row>
    <row r="704" spans="1:30" s="14" customFormat="1" ht="86.45" customHeight="1" x14ac:dyDescent="0.75">
      <c r="A704" s="331"/>
      <c r="B704" s="325"/>
      <c r="C704" s="331"/>
      <c r="D704" s="349"/>
      <c r="E704" s="349"/>
      <c r="F704" s="216" t="s">
        <v>20</v>
      </c>
      <c r="G704" s="216">
        <v>34</v>
      </c>
      <c r="H704" s="233">
        <v>221.50134700000001</v>
      </c>
      <c r="I704" s="233">
        <f>+H704*0.005</f>
        <v>1.1075067350000001</v>
      </c>
      <c r="J704" s="233">
        <v>0</v>
      </c>
      <c r="K704" s="233">
        <v>0</v>
      </c>
      <c r="L704" s="233">
        <f>+H704*(8.5/100)</f>
        <v>18.827614495000002</v>
      </c>
      <c r="M704" s="237">
        <v>0</v>
      </c>
      <c r="N704" s="233">
        <v>0</v>
      </c>
      <c r="O704" s="233">
        <f>+I704+L704</f>
        <v>19.935121230000004</v>
      </c>
      <c r="P704" s="233">
        <f>+((J704+K704)+(M704+N704))</f>
        <v>0</v>
      </c>
      <c r="Q704" s="233">
        <f>+O704-P704</f>
        <v>19.935121230000004</v>
      </c>
      <c r="R704" s="217" t="s">
        <v>19</v>
      </c>
      <c r="S704" s="216" t="s">
        <v>29</v>
      </c>
      <c r="T704" s="222" t="s">
        <v>344</v>
      </c>
      <c r="U704" s="222"/>
      <c r="V704" s="222"/>
      <c r="W704" s="15"/>
      <c r="X704" s="15"/>
      <c r="Y704" s="15"/>
      <c r="Z704" s="15"/>
      <c r="AA704" s="15"/>
      <c r="AB704" s="15"/>
      <c r="AC704" s="15"/>
      <c r="AD704" s="15"/>
    </row>
    <row r="705" spans="1:30" s="14" customFormat="1" ht="86.45" customHeight="1" x14ac:dyDescent="0.75">
      <c r="A705" s="331"/>
      <c r="B705" s="325"/>
      <c r="C705" s="331"/>
      <c r="D705" s="349"/>
      <c r="E705" s="349"/>
      <c r="F705" s="216" t="s">
        <v>21</v>
      </c>
      <c r="G705" s="216">
        <v>34</v>
      </c>
      <c r="H705" s="233">
        <v>239.75872799999999</v>
      </c>
      <c r="I705" s="233">
        <f>+H705*0.01</f>
        <v>2.3975872799999998</v>
      </c>
      <c r="J705" s="233">
        <v>0</v>
      </c>
      <c r="K705" s="233">
        <v>0</v>
      </c>
      <c r="L705" s="233">
        <f>+H705*(10/100)</f>
        <v>23.975872800000001</v>
      </c>
      <c r="M705" s="237">
        <v>0</v>
      </c>
      <c r="N705" s="233">
        <v>0</v>
      </c>
      <c r="O705" s="233">
        <f>+I705+L705</f>
        <v>26.373460080000001</v>
      </c>
      <c r="P705" s="233">
        <f>+((J705+K705)+(M705+N705))</f>
        <v>0</v>
      </c>
      <c r="Q705" s="233">
        <f>+O705-P705</f>
        <v>26.373460080000001</v>
      </c>
      <c r="R705" s="217" t="s">
        <v>19</v>
      </c>
      <c r="S705" s="216" t="s">
        <v>489</v>
      </c>
      <c r="T705" s="222" t="s">
        <v>344</v>
      </c>
      <c r="U705" s="222"/>
      <c r="V705" s="222"/>
      <c r="W705" s="15"/>
      <c r="X705" s="15"/>
      <c r="Y705" s="15"/>
      <c r="Z705" s="15"/>
      <c r="AA705" s="15"/>
      <c r="AB705" s="15"/>
      <c r="AC705" s="15"/>
      <c r="AD705" s="15"/>
    </row>
    <row r="706" spans="1:30" s="14" customFormat="1" ht="86.45" customHeight="1" x14ac:dyDescent="0.7">
      <c r="A706" s="331"/>
      <c r="B706" s="325"/>
      <c r="C706" s="331"/>
      <c r="D706" s="349"/>
      <c r="E706" s="349"/>
      <c r="F706" s="216" t="s">
        <v>22</v>
      </c>
      <c r="G706" s="216">
        <v>34</v>
      </c>
      <c r="H706" s="233">
        <f>131426322/1000000</f>
        <v>131.426322</v>
      </c>
      <c r="I706" s="233">
        <f>+H706*0.02</f>
        <v>2.6285264399999999</v>
      </c>
      <c r="J706" s="233">
        <v>0</v>
      </c>
      <c r="K706" s="233">
        <v>0</v>
      </c>
      <c r="L706" s="233">
        <f>+H706*(10.5/100)</f>
        <v>13.79976381</v>
      </c>
      <c r="M706" s="237">
        <v>0</v>
      </c>
      <c r="N706" s="233">
        <v>0</v>
      </c>
      <c r="O706" s="233">
        <f>+I706+L706</f>
        <v>16.42829025</v>
      </c>
      <c r="P706" s="233">
        <f>+((J706+K706)+(M706+N706))</f>
        <v>0</v>
      </c>
      <c r="Q706" s="233">
        <f>+O706-P706</f>
        <v>16.42829025</v>
      </c>
      <c r="R706" s="216" t="s">
        <v>19</v>
      </c>
      <c r="S706" s="216" t="s">
        <v>161</v>
      </c>
      <c r="T706" s="222" t="s">
        <v>344</v>
      </c>
      <c r="U706" s="222"/>
      <c r="V706" s="222"/>
    </row>
    <row r="707" spans="1:30" s="14" customFormat="1" ht="86.45" customHeight="1" x14ac:dyDescent="0.7">
      <c r="A707" s="331"/>
      <c r="B707" s="325"/>
      <c r="C707" s="331"/>
      <c r="D707" s="349"/>
      <c r="E707" s="349"/>
      <c r="F707" s="216" t="s">
        <v>24</v>
      </c>
      <c r="G707" s="216">
        <v>37</v>
      </c>
      <c r="H707" s="233">
        <v>284.116285</v>
      </c>
      <c r="I707" s="233">
        <f>+H707*(2.75/100)</f>
        <v>7.8131978374999997</v>
      </c>
      <c r="J707" s="233">
        <v>0</v>
      </c>
      <c r="K707" s="233">
        <v>0</v>
      </c>
      <c r="L707" s="233">
        <f>+H707*(11/100)</f>
        <v>31.252791349999999</v>
      </c>
      <c r="M707" s="237">
        <v>0</v>
      </c>
      <c r="N707" s="233">
        <v>0</v>
      </c>
      <c r="O707" s="233">
        <f t="shared" si="105"/>
        <v>39.065989187500001</v>
      </c>
      <c r="P707" s="233">
        <f t="shared" si="111"/>
        <v>0</v>
      </c>
      <c r="Q707" s="233">
        <f t="shared" si="112"/>
        <v>39.065989187500001</v>
      </c>
      <c r="R707" s="217" t="s">
        <v>494</v>
      </c>
      <c r="S707" s="216" t="s">
        <v>159</v>
      </c>
      <c r="T707" s="222" t="s">
        <v>282</v>
      </c>
      <c r="U707" s="222" t="s">
        <v>283</v>
      </c>
      <c r="V707" s="222"/>
    </row>
    <row r="708" spans="1:30" s="14" customFormat="1" ht="86.45" customHeight="1" x14ac:dyDescent="0.7">
      <c r="A708" s="331"/>
      <c r="B708" s="325"/>
      <c r="C708" s="331"/>
      <c r="D708" s="349"/>
      <c r="E708" s="348"/>
      <c r="F708" s="216" t="s">
        <v>27</v>
      </c>
      <c r="G708" s="216">
        <v>37</v>
      </c>
      <c r="H708" s="233">
        <v>283.47165999999999</v>
      </c>
      <c r="I708" s="233">
        <f>+H708*(3.5/100)</f>
        <v>9.9215081000000005</v>
      </c>
      <c r="J708" s="233">
        <v>0</v>
      </c>
      <c r="K708" s="233">
        <v>0</v>
      </c>
      <c r="L708" s="233">
        <f>+H708*(11.5/100)</f>
        <v>32.599240899999998</v>
      </c>
      <c r="M708" s="237">
        <v>0</v>
      </c>
      <c r="N708" s="233">
        <v>0</v>
      </c>
      <c r="O708" s="233">
        <f t="shared" si="105"/>
        <v>42.520748999999995</v>
      </c>
      <c r="P708" s="233">
        <f t="shared" si="111"/>
        <v>0</v>
      </c>
      <c r="Q708" s="233">
        <f t="shared" si="112"/>
        <v>42.520748999999995</v>
      </c>
      <c r="R708" s="217" t="s">
        <v>497</v>
      </c>
      <c r="S708" s="216" t="s">
        <v>160</v>
      </c>
      <c r="T708" s="222" t="s">
        <v>282</v>
      </c>
      <c r="U708" s="222" t="s">
        <v>283</v>
      </c>
      <c r="V708" s="222"/>
    </row>
    <row r="709" spans="1:30" s="14" customFormat="1" ht="86.45" customHeight="1" x14ac:dyDescent="0.7">
      <c r="A709" s="331"/>
      <c r="B709" s="325"/>
      <c r="C709" s="331"/>
      <c r="D709" s="349"/>
      <c r="E709" s="350" t="s">
        <v>1355</v>
      </c>
      <c r="F709" s="254" t="s">
        <v>18</v>
      </c>
      <c r="G709" s="254">
        <v>34</v>
      </c>
      <c r="H709" s="255">
        <v>148.44720000000001</v>
      </c>
      <c r="I709" s="255">
        <v>0.74219999999999997</v>
      </c>
      <c r="J709" s="255">
        <v>0</v>
      </c>
      <c r="K709" s="255">
        <v>0</v>
      </c>
      <c r="L709" s="255">
        <v>12.618</v>
      </c>
      <c r="M709" s="255">
        <v>0</v>
      </c>
      <c r="N709" s="255">
        <v>0</v>
      </c>
      <c r="O709" s="255">
        <v>13.360300000000001</v>
      </c>
      <c r="P709" s="255">
        <f t="shared" si="111"/>
        <v>0</v>
      </c>
      <c r="Q709" s="255">
        <f t="shared" si="112"/>
        <v>13.360300000000001</v>
      </c>
      <c r="R709" s="258"/>
      <c r="S709" s="254"/>
      <c r="T709" s="222"/>
      <c r="U709" s="222"/>
      <c r="V709" s="222"/>
    </row>
    <row r="710" spans="1:30" s="14" customFormat="1" ht="86.45" customHeight="1" x14ac:dyDescent="0.7">
      <c r="A710" s="331"/>
      <c r="B710" s="325"/>
      <c r="C710" s="331"/>
      <c r="D710" s="349"/>
      <c r="E710" s="351"/>
      <c r="F710" s="254" t="s">
        <v>20</v>
      </c>
      <c r="G710" s="254">
        <v>34</v>
      </c>
      <c r="H710" s="255">
        <v>204.524</v>
      </c>
      <c r="I710" s="255">
        <v>1.0226</v>
      </c>
      <c r="J710" s="255">
        <v>0</v>
      </c>
      <c r="K710" s="255">
        <v>0</v>
      </c>
      <c r="L710" s="255">
        <v>17.384499999999999</v>
      </c>
      <c r="M710" s="255">
        <v>0</v>
      </c>
      <c r="N710" s="255">
        <v>0</v>
      </c>
      <c r="O710" s="255">
        <v>18.4072</v>
      </c>
      <c r="P710" s="255">
        <f t="shared" si="111"/>
        <v>0</v>
      </c>
      <c r="Q710" s="255">
        <f t="shared" si="112"/>
        <v>18.4072</v>
      </c>
      <c r="R710" s="258"/>
      <c r="S710" s="254"/>
      <c r="T710" s="222"/>
      <c r="U710" s="222"/>
      <c r="V710" s="222"/>
    </row>
    <row r="711" spans="1:30" s="14" customFormat="1" ht="86.45" customHeight="1" x14ac:dyDescent="0.7">
      <c r="A711" s="331"/>
      <c r="B711" s="325"/>
      <c r="C711" s="331"/>
      <c r="D711" s="349"/>
      <c r="E711" s="351"/>
      <c r="F711" s="254" t="s">
        <v>21</v>
      </c>
      <c r="G711" s="254" t="s">
        <v>1357</v>
      </c>
      <c r="H711" s="255">
        <v>225.9212</v>
      </c>
      <c r="I711" s="255">
        <v>0</v>
      </c>
      <c r="J711" s="255">
        <v>0</v>
      </c>
      <c r="K711" s="255">
        <v>0</v>
      </c>
      <c r="L711" s="255">
        <v>0</v>
      </c>
      <c r="M711" s="255">
        <v>0</v>
      </c>
      <c r="N711" s="255">
        <v>0</v>
      </c>
      <c r="O711" s="255">
        <v>20.332899999999999</v>
      </c>
      <c r="P711" s="255">
        <f t="shared" si="111"/>
        <v>0</v>
      </c>
      <c r="Q711" s="255">
        <f t="shared" si="112"/>
        <v>20.332899999999999</v>
      </c>
      <c r="R711" s="258"/>
      <c r="S711" s="254"/>
      <c r="T711" s="222"/>
      <c r="U711" s="222"/>
      <c r="V711" s="222"/>
    </row>
    <row r="712" spans="1:30" s="14" customFormat="1" ht="86.45" customHeight="1" x14ac:dyDescent="0.7">
      <c r="A712" s="331"/>
      <c r="B712" s="325"/>
      <c r="C712" s="331"/>
      <c r="D712" s="349"/>
      <c r="E712" s="351"/>
      <c r="F712" s="254" t="s">
        <v>22</v>
      </c>
      <c r="G712" s="254">
        <v>23</v>
      </c>
      <c r="H712" s="255">
        <v>125.0213</v>
      </c>
      <c r="I712" s="255">
        <v>0</v>
      </c>
      <c r="J712" s="255">
        <v>0</v>
      </c>
      <c r="K712" s="255">
        <v>0</v>
      </c>
      <c r="L712" s="255">
        <v>0</v>
      </c>
      <c r="M712" s="255">
        <v>0</v>
      </c>
      <c r="N712" s="255">
        <v>0</v>
      </c>
      <c r="O712" s="255">
        <v>11.251899999999999</v>
      </c>
      <c r="P712" s="255">
        <f t="shared" si="111"/>
        <v>0</v>
      </c>
      <c r="Q712" s="255">
        <f t="shared" si="112"/>
        <v>11.251899999999999</v>
      </c>
      <c r="R712" s="258"/>
      <c r="S712" s="254"/>
      <c r="T712" s="222"/>
      <c r="U712" s="222"/>
      <c r="V712" s="222"/>
    </row>
    <row r="713" spans="1:30" s="14" customFormat="1" ht="86.45" customHeight="1" x14ac:dyDescent="0.7">
      <c r="A713" s="331"/>
      <c r="B713" s="325"/>
      <c r="C713" s="331"/>
      <c r="D713" s="349"/>
      <c r="E713" s="351"/>
      <c r="F713" s="254" t="s">
        <v>24</v>
      </c>
      <c r="G713" s="254">
        <v>37</v>
      </c>
      <c r="H713" s="255">
        <v>268.08789999999999</v>
      </c>
      <c r="I713" s="255">
        <v>0</v>
      </c>
      <c r="J713" s="255">
        <v>0</v>
      </c>
      <c r="K713" s="255">
        <v>0</v>
      </c>
      <c r="L713" s="255">
        <v>0</v>
      </c>
      <c r="M713" s="255">
        <v>0</v>
      </c>
      <c r="N713" s="255">
        <v>0</v>
      </c>
      <c r="O713" s="255">
        <v>24.1279</v>
      </c>
      <c r="P713" s="255">
        <f t="shared" si="111"/>
        <v>0</v>
      </c>
      <c r="Q713" s="255">
        <f t="shared" si="112"/>
        <v>24.1279</v>
      </c>
      <c r="R713" s="258"/>
      <c r="S713" s="254"/>
      <c r="T713" s="222"/>
      <c r="U713" s="222"/>
      <c r="V713" s="222"/>
    </row>
    <row r="714" spans="1:30" s="14" customFormat="1" ht="86.45" customHeight="1" x14ac:dyDescent="0.7">
      <c r="A714" s="331"/>
      <c r="B714" s="325"/>
      <c r="C714" s="331"/>
      <c r="D714" s="349"/>
      <c r="E714" s="351"/>
      <c r="F714" s="254" t="s">
        <v>27</v>
      </c>
      <c r="G714" s="254">
        <v>37</v>
      </c>
      <c r="H714" s="255">
        <v>270.05059999999997</v>
      </c>
      <c r="I714" s="255">
        <v>0</v>
      </c>
      <c r="J714" s="255">
        <v>0</v>
      </c>
      <c r="K714" s="255">
        <v>0</v>
      </c>
      <c r="L714" s="255">
        <v>0</v>
      </c>
      <c r="M714" s="255">
        <v>0</v>
      </c>
      <c r="N714" s="255">
        <v>0</v>
      </c>
      <c r="O714" s="255">
        <v>24.304600000000001</v>
      </c>
      <c r="P714" s="255">
        <f t="shared" si="111"/>
        <v>0</v>
      </c>
      <c r="Q714" s="255">
        <f t="shared" si="112"/>
        <v>24.304600000000001</v>
      </c>
      <c r="R714" s="258"/>
      <c r="S714" s="254"/>
      <c r="T714" s="222"/>
      <c r="U714" s="222"/>
      <c r="V714" s="222"/>
    </row>
    <row r="715" spans="1:30" s="14" customFormat="1" ht="86.45" customHeight="1" x14ac:dyDescent="0.75">
      <c r="A715" s="330">
        <v>261</v>
      </c>
      <c r="B715" s="324" t="s">
        <v>765</v>
      </c>
      <c r="C715" s="330" t="s">
        <v>511</v>
      </c>
      <c r="D715" s="347">
        <v>3019019801</v>
      </c>
      <c r="E715" s="347" t="s">
        <v>1298</v>
      </c>
      <c r="F715" s="216" t="s">
        <v>18</v>
      </c>
      <c r="G715" s="216">
        <v>4.8419999999999996</v>
      </c>
      <c r="H715" s="233">
        <v>28.346509000000001</v>
      </c>
      <c r="I715" s="233">
        <f>+H715*0.005</f>
        <v>0.14173254500000002</v>
      </c>
      <c r="J715" s="233">
        <v>0</v>
      </c>
      <c r="K715" s="233">
        <v>0</v>
      </c>
      <c r="L715" s="233">
        <f>+H715*(8.5/100)</f>
        <v>2.4094532650000002</v>
      </c>
      <c r="M715" s="237">
        <v>0</v>
      </c>
      <c r="N715" s="233">
        <v>0</v>
      </c>
      <c r="O715" s="233">
        <f>+I715+L715</f>
        <v>2.5511858100000002</v>
      </c>
      <c r="P715" s="233">
        <f>+((J715+K715)+(M715+N715))</f>
        <v>0</v>
      </c>
      <c r="Q715" s="233">
        <f>+O715-P715</f>
        <v>2.5511858100000002</v>
      </c>
      <c r="R715" s="217" t="s">
        <v>19</v>
      </c>
      <c r="S715" s="216" t="s">
        <v>346</v>
      </c>
      <c r="T715" s="222" t="s">
        <v>344</v>
      </c>
      <c r="U715" s="222"/>
      <c r="V715" s="222"/>
      <c r="W715" s="15"/>
      <c r="X715" s="15"/>
      <c r="Y715" s="15"/>
      <c r="Z715" s="15"/>
      <c r="AA715" s="15"/>
      <c r="AB715" s="15"/>
      <c r="AC715" s="15"/>
      <c r="AD715" s="15"/>
    </row>
    <row r="716" spans="1:30" s="14" customFormat="1" ht="86.45" customHeight="1" x14ac:dyDescent="0.75">
      <c r="A716" s="331"/>
      <c r="B716" s="325"/>
      <c r="C716" s="331"/>
      <c r="D716" s="349"/>
      <c r="E716" s="348"/>
      <c r="F716" s="216" t="s">
        <v>20</v>
      </c>
      <c r="G716" s="216">
        <v>4</v>
      </c>
      <c r="H716" s="233">
        <v>32.935156999999997</v>
      </c>
      <c r="I716" s="233">
        <f>+H716*0.005</f>
        <v>0.16467578499999999</v>
      </c>
      <c r="J716" s="233">
        <v>0</v>
      </c>
      <c r="K716" s="233">
        <v>0</v>
      </c>
      <c r="L716" s="233">
        <f>+H716*(8.5/100)</f>
        <v>2.7994883449999999</v>
      </c>
      <c r="M716" s="237">
        <v>0</v>
      </c>
      <c r="N716" s="233">
        <v>0</v>
      </c>
      <c r="O716" s="233">
        <f t="shared" si="105"/>
        <v>2.9641641299999999</v>
      </c>
      <c r="P716" s="233">
        <f t="shared" si="111"/>
        <v>0</v>
      </c>
      <c r="Q716" s="233">
        <f t="shared" si="112"/>
        <v>2.9641641299999999</v>
      </c>
      <c r="R716" s="217" t="s">
        <v>19</v>
      </c>
      <c r="S716" s="216" t="s">
        <v>446</v>
      </c>
      <c r="T716" s="222" t="s">
        <v>344</v>
      </c>
      <c r="U716" s="222"/>
      <c r="V716" s="222"/>
      <c r="W716" s="15"/>
      <c r="X716" s="15"/>
      <c r="Y716" s="15"/>
      <c r="Z716" s="15"/>
      <c r="AA716" s="15"/>
      <c r="AB716" s="15"/>
      <c r="AC716" s="15"/>
      <c r="AD716" s="15"/>
    </row>
    <row r="717" spans="1:30" s="14" customFormat="1" ht="86.45" customHeight="1" x14ac:dyDescent="0.75">
      <c r="A717" s="331"/>
      <c r="B717" s="325"/>
      <c r="C717" s="331"/>
      <c r="D717" s="349"/>
      <c r="E717" s="350" t="s">
        <v>1355</v>
      </c>
      <c r="F717" s="254" t="s">
        <v>18</v>
      </c>
      <c r="G717" s="254">
        <v>4</v>
      </c>
      <c r="H717" s="255">
        <v>23.456099999999999</v>
      </c>
      <c r="I717" s="255">
        <v>0.1173</v>
      </c>
      <c r="J717" s="255">
        <v>0</v>
      </c>
      <c r="K717" s="255">
        <v>0</v>
      </c>
      <c r="L717" s="255">
        <v>1.9938</v>
      </c>
      <c r="M717" s="255">
        <v>0</v>
      </c>
      <c r="N717" s="255">
        <v>0</v>
      </c>
      <c r="O717" s="255">
        <v>2.1110000000000002</v>
      </c>
      <c r="P717" s="255">
        <v>0</v>
      </c>
      <c r="Q717" s="255">
        <f t="shared" si="112"/>
        <v>2.1110000000000002</v>
      </c>
      <c r="R717" s="258"/>
      <c r="S717" s="254"/>
      <c r="T717" s="222"/>
      <c r="U717" s="222"/>
      <c r="V717" s="222"/>
      <c r="W717" s="15"/>
      <c r="X717" s="15"/>
      <c r="Y717" s="15"/>
      <c r="Z717" s="15"/>
      <c r="AA717" s="15"/>
      <c r="AB717" s="15"/>
      <c r="AC717" s="15"/>
      <c r="AD717" s="15"/>
    </row>
    <row r="718" spans="1:30" s="14" customFormat="1" ht="86.45" customHeight="1" x14ac:dyDescent="0.75">
      <c r="A718" s="331"/>
      <c r="B718" s="325"/>
      <c r="C718" s="331"/>
      <c r="D718" s="349"/>
      <c r="E718" s="351"/>
      <c r="F718" s="254" t="s">
        <v>20</v>
      </c>
      <c r="G718" s="254">
        <v>4</v>
      </c>
      <c r="H718" s="255">
        <v>27.436299999999999</v>
      </c>
      <c r="I718" s="255">
        <v>0.13719999999999999</v>
      </c>
      <c r="J718" s="255">
        <v>0</v>
      </c>
      <c r="K718" s="255">
        <v>0</v>
      </c>
      <c r="L718" s="255">
        <v>2.3321000000000001</v>
      </c>
      <c r="M718" s="255">
        <v>0</v>
      </c>
      <c r="N718" s="255">
        <v>0</v>
      </c>
      <c r="O718" s="255">
        <v>2.4693000000000001</v>
      </c>
      <c r="P718" s="255">
        <v>0</v>
      </c>
      <c r="Q718" s="255">
        <f t="shared" si="112"/>
        <v>2.4693000000000001</v>
      </c>
      <c r="R718" s="258"/>
      <c r="S718" s="254"/>
      <c r="T718" s="222"/>
      <c r="U718" s="222"/>
      <c r="V718" s="222"/>
      <c r="W718" s="15"/>
      <c r="X718" s="15"/>
      <c r="Y718" s="15"/>
      <c r="Z718" s="15"/>
      <c r="AA718" s="15"/>
      <c r="AB718" s="15"/>
      <c r="AC718" s="15"/>
      <c r="AD718" s="15"/>
    </row>
    <row r="719" spans="1:30" s="14" customFormat="1" ht="86.45" customHeight="1" x14ac:dyDescent="0.75">
      <c r="A719" s="330">
        <v>262</v>
      </c>
      <c r="B719" s="324" t="s">
        <v>892</v>
      </c>
      <c r="C719" s="330" t="s">
        <v>511</v>
      </c>
      <c r="D719" s="347">
        <v>430019003072</v>
      </c>
      <c r="E719" s="221" t="s">
        <v>1298</v>
      </c>
      <c r="F719" s="216" t="s">
        <v>20</v>
      </c>
      <c r="G719" s="216">
        <v>4.5</v>
      </c>
      <c r="H719" s="233">
        <v>9.1962209999999995</v>
      </c>
      <c r="I719" s="233">
        <f t="shared" ref="I719:I723" si="117">+H719*0.005</f>
        <v>4.5981105000000001E-2</v>
      </c>
      <c r="J719" s="233">
        <v>0</v>
      </c>
      <c r="K719" s="233">
        <f>(141*1000/1000000)</f>
        <v>0.14099999999999999</v>
      </c>
      <c r="L719" s="233">
        <f t="shared" ref="L719:L723" si="118">+H719*(8.5/100)</f>
        <v>0.78167878499999999</v>
      </c>
      <c r="M719" s="237">
        <v>0</v>
      </c>
      <c r="N719" s="233">
        <f>(1732*1000/1000000)</f>
        <v>1.732</v>
      </c>
      <c r="O719" s="233">
        <f t="shared" si="105"/>
        <v>0.82765988999999995</v>
      </c>
      <c r="P719" s="233">
        <f t="shared" si="111"/>
        <v>1.873</v>
      </c>
      <c r="Q719" s="233">
        <f t="shared" si="112"/>
        <v>-1.0453401100000002</v>
      </c>
      <c r="R719" s="217" t="s">
        <v>284</v>
      </c>
      <c r="S719" s="216" t="s">
        <v>1121</v>
      </c>
      <c r="T719" s="222" t="s">
        <v>282</v>
      </c>
      <c r="U719" s="222" t="s">
        <v>310</v>
      </c>
      <c r="V719" s="222"/>
      <c r="W719" s="15"/>
      <c r="X719" s="15"/>
      <c r="Y719" s="15"/>
      <c r="Z719" s="15"/>
      <c r="AA719" s="15"/>
      <c r="AB719" s="15"/>
      <c r="AC719" s="15"/>
      <c r="AD719" s="15"/>
    </row>
    <row r="720" spans="1:30" s="14" customFormat="1" ht="86.45" customHeight="1" x14ac:dyDescent="0.75">
      <c r="A720" s="331"/>
      <c r="B720" s="325"/>
      <c r="C720" s="331"/>
      <c r="D720" s="349"/>
      <c r="E720" s="350" t="s">
        <v>1399</v>
      </c>
      <c r="F720" s="254" t="s">
        <v>20</v>
      </c>
      <c r="G720" s="254">
        <v>4.5</v>
      </c>
      <c r="H720" s="255">
        <v>9.1950000000000003</v>
      </c>
      <c r="I720" s="255">
        <v>4.5999999999999999E-2</v>
      </c>
      <c r="J720" s="255">
        <v>0</v>
      </c>
      <c r="K720" s="255">
        <v>4.5999999999999999E-2</v>
      </c>
      <c r="L720" s="255">
        <v>0.78200000000000003</v>
      </c>
      <c r="M720" s="255">
        <v>0</v>
      </c>
      <c r="N720" s="255">
        <v>0.78200000000000003</v>
      </c>
      <c r="O720" s="255">
        <f t="shared" si="105"/>
        <v>0.82800000000000007</v>
      </c>
      <c r="P720" s="255">
        <f t="shared" si="111"/>
        <v>0.82800000000000007</v>
      </c>
      <c r="Q720" s="255">
        <f t="shared" si="112"/>
        <v>0</v>
      </c>
      <c r="R720" s="255"/>
      <c r="S720" s="255"/>
      <c r="T720" s="222"/>
      <c r="U720" s="222"/>
      <c r="V720" s="222"/>
      <c r="W720" s="15"/>
      <c r="X720" s="15"/>
      <c r="Y720" s="15"/>
      <c r="Z720" s="15"/>
      <c r="AA720" s="15"/>
      <c r="AB720" s="15"/>
      <c r="AC720" s="15"/>
      <c r="AD720" s="15"/>
    </row>
    <row r="721" spans="1:30" s="14" customFormat="1" ht="86.45" customHeight="1" x14ac:dyDescent="0.75">
      <c r="A721" s="332"/>
      <c r="B721" s="326"/>
      <c r="C721" s="332"/>
      <c r="D721" s="348"/>
      <c r="E721" s="352"/>
      <c r="F721" s="254" t="s">
        <v>21</v>
      </c>
      <c r="G721" s="254">
        <v>4.5</v>
      </c>
      <c r="H721" s="255">
        <v>19.887</v>
      </c>
      <c r="I721" s="255">
        <v>0.19900000000000001</v>
      </c>
      <c r="J721" s="255">
        <v>0</v>
      </c>
      <c r="K721" s="255">
        <v>0.19</v>
      </c>
      <c r="L721" s="255">
        <v>1.9890000000000001</v>
      </c>
      <c r="M721" s="255">
        <v>0</v>
      </c>
      <c r="N721" s="255">
        <v>1.891</v>
      </c>
      <c r="O721" s="255">
        <v>2.1880000000000002</v>
      </c>
      <c r="P721" s="255">
        <v>2.081</v>
      </c>
      <c r="Q721" s="255">
        <f t="shared" si="112"/>
        <v>0.10700000000000021</v>
      </c>
      <c r="R721" s="255"/>
      <c r="S721" s="255"/>
      <c r="T721" s="222"/>
      <c r="U721" s="222"/>
      <c r="V721" s="222"/>
      <c r="W721" s="15"/>
      <c r="X721" s="15"/>
      <c r="Y721" s="15"/>
      <c r="Z721" s="15"/>
      <c r="AA721" s="15"/>
      <c r="AB721" s="15"/>
      <c r="AC721" s="15"/>
      <c r="AD721" s="15"/>
    </row>
    <row r="722" spans="1:30" s="14" customFormat="1" ht="86.45" customHeight="1" x14ac:dyDescent="0.75">
      <c r="A722" s="333">
        <v>263</v>
      </c>
      <c r="B722" s="353" t="s">
        <v>893</v>
      </c>
      <c r="C722" s="333" t="s">
        <v>511</v>
      </c>
      <c r="D722" s="354">
        <v>170019033630</v>
      </c>
      <c r="E722" s="221"/>
      <c r="F722" s="216" t="s">
        <v>18</v>
      </c>
      <c r="G722" s="216">
        <v>1</v>
      </c>
      <c r="H722" s="233">
        <v>5.8114999999999997</v>
      </c>
      <c r="I722" s="233">
        <f t="shared" si="117"/>
        <v>2.90575E-2</v>
      </c>
      <c r="J722" s="233">
        <v>0</v>
      </c>
      <c r="K722" s="233">
        <v>0</v>
      </c>
      <c r="L722" s="233">
        <f t="shared" si="118"/>
        <v>0.49397750000000001</v>
      </c>
      <c r="M722" s="237">
        <v>0</v>
      </c>
      <c r="N722" s="233">
        <v>0</v>
      </c>
      <c r="O722" s="233">
        <f t="shared" si="105"/>
        <v>0.52303500000000003</v>
      </c>
      <c r="P722" s="233">
        <f t="shared" si="111"/>
        <v>0</v>
      </c>
      <c r="Q722" s="233">
        <f t="shared" si="112"/>
        <v>0.52303500000000003</v>
      </c>
      <c r="R722" s="217" t="s">
        <v>284</v>
      </c>
      <c r="S722" s="216" t="s">
        <v>1122</v>
      </c>
      <c r="T722" s="222" t="s">
        <v>282</v>
      </c>
      <c r="U722" s="222" t="s">
        <v>283</v>
      </c>
      <c r="V722" s="222"/>
      <c r="W722" s="15"/>
      <c r="X722" s="15"/>
      <c r="Y722" s="15"/>
      <c r="Z722" s="15"/>
      <c r="AA722" s="15"/>
      <c r="AB722" s="15"/>
      <c r="AC722" s="15"/>
      <c r="AD722" s="15"/>
    </row>
    <row r="723" spans="1:30" s="14" customFormat="1" ht="86.45" customHeight="1" x14ac:dyDescent="0.75">
      <c r="A723" s="333"/>
      <c r="B723" s="353"/>
      <c r="C723" s="333"/>
      <c r="D723" s="354"/>
      <c r="E723" s="221"/>
      <c r="F723" s="216" t="s">
        <v>20</v>
      </c>
      <c r="G723" s="216">
        <v>1</v>
      </c>
      <c r="H723" s="233">
        <v>6.7320000000000002</v>
      </c>
      <c r="I723" s="233">
        <f t="shared" si="117"/>
        <v>3.3660000000000002E-2</v>
      </c>
      <c r="J723" s="233">
        <v>0</v>
      </c>
      <c r="K723" s="233">
        <v>0</v>
      </c>
      <c r="L723" s="233">
        <f t="shared" si="118"/>
        <v>0.57222000000000006</v>
      </c>
      <c r="M723" s="237">
        <v>0</v>
      </c>
      <c r="N723" s="233">
        <v>0</v>
      </c>
      <c r="O723" s="233">
        <f t="shared" si="105"/>
        <v>0.60588000000000009</v>
      </c>
      <c r="P723" s="233">
        <f t="shared" si="111"/>
        <v>0</v>
      </c>
      <c r="Q723" s="233">
        <f t="shared" si="112"/>
        <v>0.60588000000000009</v>
      </c>
      <c r="R723" s="217" t="s">
        <v>284</v>
      </c>
      <c r="S723" s="216" t="s">
        <v>1295</v>
      </c>
      <c r="T723" s="222" t="s">
        <v>282</v>
      </c>
      <c r="U723" s="222" t="s">
        <v>283</v>
      </c>
      <c r="V723" s="222"/>
      <c r="W723" s="15"/>
      <c r="X723" s="15"/>
      <c r="Y723" s="15"/>
      <c r="Z723" s="15"/>
      <c r="AA723" s="15"/>
      <c r="AB723" s="15"/>
      <c r="AC723" s="15"/>
      <c r="AD723" s="15"/>
    </row>
    <row r="724" spans="1:30" s="14" customFormat="1" ht="57" x14ac:dyDescent="0.7">
      <c r="A724" s="248"/>
      <c r="B724" s="214"/>
      <c r="C724" s="207"/>
      <c r="D724" s="232"/>
      <c r="E724" s="232"/>
      <c r="F724" s="209"/>
      <c r="G724" s="209"/>
      <c r="H724" s="209"/>
      <c r="I724" s="209"/>
      <c r="J724" s="209"/>
      <c r="K724" s="209"/>
      <c r="L724" s="209"/>
      <c r="M724" s="207"/>
      <c r="N724" s="209"/>
      <c r="O724" s="209"/>
      <c r="P724" s="209"/>
      <c r="Q724" s="209"/>
      <c r="R724" s="209"/>
      <c r="S724" s="210"/>
    </row>
    <row r="725" spans="1:30" s="14" customFormat="1" ht="57" x14ac:dyDescent="0.7">
      <c r="A725" s="248"/>
      <c r="B725" s="214"/>
      <c r="C725" s="207"/>
      <c r="D725" s="232"/>
      <c r="E725" s="232"/>
      <c r="F725" s="209"/>
      <c r="G725" s="209"/>
      <c r="H725" s="209"/>
      <c r="I725" s="209"/>
      <c r="J725" s="209"/>
      <c r="K725" s="209"/>
      <c r="L725" s="209"/>
      <c r="M725" s="207"/>
      <c r="N725" s="209"/>
      <c r="O725" s="209"/>
      <c r="P725" s="209"/>
      <c r="Q725" s="209"/>
      <c r="R725" s="209"/>
      <c r="S725" s="210"/>
    </row>
    <row r="726" spans="1:30" s="14" customFormat="1" ht="57" x14ac:dyDescent="0.7">
      <c r="A726" s="248"/>
      <c r="B726" s="214"/>
      <c r="C726" s="207"/>
      <c r="D726" s="232"/>
      <c r="E726" s="232"/>
      <c r="F726" s="209"/>
      <c r="G726" s="209"/>
      <c r="H726" s="209"/>
      <c r="I726" s="209"/>
      <c r="J726" s="209"/>
      <c r="K726" s="209"/>
      <c r="L726" s="209"/>
      <c r="M726" s="207"/>
      <c r="N726" s="209"/>
      <c r="O726" s="209"/>
      <c r="P726" s="209"/>
      <c r="Q726" s="209"/>
      <c r="R726" s="209"/>
      <c r="S726" s="210"/>
    </row>
    <row r="727" spans="1:30" s="14" customFormat="1" ht="57" x14ac:dyDescent="0.7">
      <c r="A727" s="248"/>
      <c r="B727" s="214"/>
      <c r="C727" s="207"/>
      <c r="D727" s="232"/>
      <c r="E727" s="232"/>
      <c r="F727" s="209"/>
      <c r="G727" s="209"/>
      <c r="H727" s="209"/>
      <c r="I727" s="209"/>
      <c r="J727" s="209"/>
      <c r="K727" s="209"/>
      <c r="L727" s="209"/>
      <c r="M727" s="207"/>
      <c r="N727" s="209"/>
      <c r="O727" s="209"/>
      <c r="P727" s="209"/>
      <c r="Q727" s="209"/>
      <c r="R727" s="209"/>
      <c r="S727" s="210"/>
    </row>
    <row r="728" spans="1:30" s="14" customFormat="1" ht="57" x14ac:dyDescent="0.7">
      <c r="A728" s="248"/>
      <c r="B728" s="214"/>
      <c r="C728" s="207"/>
      <c r="D728" s="232"/>
      <c r="E728" s="232"/>
      <c r="F728" s="209"/>
      <c r="G728" s="209"/>
      <c r="H728" s="209"/>
      <c r="I728" s="209"/>
      <c r="J728" s="209"/>
      <c r="K728" s="209"/>
      <c r="L728" s="209"/>
      <c r="M728" s="207"/>
      <c r="N728" s="209"/>
      <c r="O728" s="209"/>
      <c r="P728" s="209"/>
      <c r="Q728" s="209"/>
      <c r="R728" s="209"/>
      <c r="S728" s="210"/>
    </row>
    <row r="729" spans="1:30" s="14" customFormat="1" ht="57" x14ac:dyDescent="0.7">
      <c r="A729" s="248"/>
      <c r="B729" s="214"/>
      <c r="C729" s="207"/>
      <c r="D729" s="232"/>
      <c r="E729" s="232"/>
      <c r="F729" s="209"/>
      <c r="G729" s="209"/>
      <c r="H729" s="209"/>
      <c r="I729" s="209"/>
      <c r="J729" s="209"/>
      <c r="K729" s="209"/>
      <c r="L729" s="209"/>
      <c r="M729" s="207"/>
      <c r="N729" s="209"/>
      <c r="O729" s="209"/>
      <c r="P729" s="209"/>
      <c r="Q729" s="209"/>
      <c r="R729" s="209"/>
      <c r="S729" s="210"/>
    </row>
    <row r="730" spans="1:30" s="14" customFormat="1" ht="57" x14ac:dyDescent="0.7">
      <c r="A730" s="248"/>
      <c r="B730" s="214"/>
      <c r="C730" s="207"/>
      <c r="D730" s="232"/>
      <c r="E730" s="232"/>
      <c r="F730" s="209"/>
      <c r="G730" s="209"/>
      <c r="H730" s="209"/>
      <c r="I730" s="209"/>
      <c r="J730" s="209"/>
      <c r="K730" s="209"/>
      <c r="L730" s="209"/>
      <c r="M730" s="207"/>
      <c r="N730" s="209"/>
      <c r="O730" s="209"/>
      <c r="P730" s="209"/>
      <c r="Q730" s="209"/>
      <c r="R730" s="209"/>
      <c r="S730" s="210"/>
    </row>
    <row r="731" spans="1:30" s="14" customFormat="1" ht="57" x14ac:dyDescent="0.7">
      <c r="A731" s="248"/>
      <c r="B731" s="214"/>
      <c r="C731" s="207"/>
      <c r="D731" s="232"/>
      <c r="E731" s="232"/>
      <c r="F731" s="209"/>
      <c r="G731" s="209"/>
      <c r="H731" s="209"/>
      <c r="I731" s="209"/>
      <c r="J731" s="209"/>
      <c r="K731" s="209"/>
      <c r="L731" s="209"/>
      <c r="M731" s="207"/>
      <c r="N731" s="209"/>
      <c r="O731" s="209"/>
      <c r="P731" s="209"/>
      <c r="Q731" s="209"/>
      <c r="R731" s="209"/>
      <c r="S731" s="210"/>
    </row>
    <row r="732" spans="1:30" s="14" customFormat="1" ht="57" x14ac:dyDescent="0.7">
      <c r="A732" s="248"/>
      <c r="B732" s="214"/>
      <c r="C732" s="207"/>
      <c r="D732" s="232"/>
      <c r="E732" s="232"/>
      <c r="F732" s="209"/>
      <c r="G732" s="209"/>
      <c r="H732" s="209"/>
      <c r="I732" s="209"/>
      <c r="J732" s="209"/>
      <c r="K732" s="209"/>
      <c r="L732" s="209"/>
      <c r="M732" s="207"/>
      <c r="N732" s="209"/>
      <c r="O732" s="209"/>
      <c r="P732" s="209"/>
      <c r="Q732" s="209"/>
      <c r="R732" s="209"/>
      <c r="S732" s="210"/>
    </row>
    <row r="733" spans="1:30" s="14" customFormat="1" ht="57" x14ac:dyDescent="0.7">
      <c r="A733" s="248"/>
      <c r="B733" s="214"/>
      <c r="C733" s="207"/>
      <c r="D733" s="232"/>
      <c r="E733" s="232"/>
      <c r="F733" s="209"/>
      <c r="G733" s="209"/>
      <c r="H733" s="209"/>
      <c r="I733" s="209"/>
      <c r="J733" s="209"/>
      <c r="K733" s="209"/>
      <c r="L733" s="209"/>
      <c r="M733" s="207"/>
      <c r="N733" s="209"/>
      <c r="O733" s="209"/>
      <c r="P733" s="209"/>
      <c r="Q733" s="209"/>
      <c r="R733" s="209"/>
      <c r="S733" s="210"/>
    </row>
    <row r="734" spans="1:30" s="14" customFormat="1" ht="57" x14ac:dyDescent="0.7">
      <c r="A734" s="248"/>
      <c r="B734" s="214"/>
      <c r="C734" s="207"/>
      <c r="D734" s="232"/>
      <c r="E734" s="232"/>
      <c r="F734" s="209"/>
      <c r="G734" s="209"/>
      <c r="H734" s="209"/>
      <c r="I734" s="209"/>
      <c r="J734" s="209"/>
      <c r="K734" s="209"/>
      <c r="L734" s="209"/>
      <c r="M734" s="207"/>
      <c r="N734" s="209"/>
      <c r="O734" s="209"/>
      <c r="P734" s="209"/>
      <c r="Q734" s="209"/>
      <c r="R734" s="209"/>
      <c r="S734" s="210"/>
    </row>
    <row r="735" spans="1:30" s="14" customFormat="1" ht="57" x14ac:dyDescent="0.7">
      <c r="A735" s="248"/>
      <c r="B735" s="214"/>
      <c r="C735" s="207"/>
      <c r="D735" s="232"/>
      <c r="E735" s="232"/>
      <c r="F735" s="209"/>
      <c r="G735" s="209"/>
      <c r="H735" s="209"/>
      <c r="I735" s="209"/>
      <c r="J735" s="209"/>
      <c r="K735" s="209"/>
      <c r="L735" s="209"/>
      <c r="M735" s="207"/>
      <c r="N735" s="209"/>
      <c r="O735" s="209"/>
      <c r="P735" s="209"/>
      <c r="Q735" s="209"/>
      <c r="R735" s="209"/>
      <c r="S735" s="210"/>
    </row>
    <row r="736" spans="1:30" s="14" customFormat="1" ht="57" x14ac:dyDescent="0.7">
      <c r="A736" s="248"/>
      <c r="B736" s="214"/>
      <c r="C736" s="207"/>
      <c r="D736" s="232"/>
      <c r="E736" s="232"/>
      <c r="F736" s="209"/>
      <c r="G736" s="209"/>
      <c r="H736" s="209"/>
      <c r="I736" s="209"/>
      <c r="J736" s="209"/>
      <c r="K736" s="209"/>
      <c r="L736" s="209"/>
      <c r="M736" s="207"/>
      <c r="N736" s="209"/>
      <c r="O736" s="209"/>
      <c r="P736" s="209"/>
      <c r="Q736" s="209"/>
      <c r="R736" s="209"/>
      <c r="S736" s="210"/>
    </row>
    <row r="737" spans="1:19" s="14" customFormat="1" ht="57" x14ac:dyDescent="0.7">
      <c r="A737" s="248"/>
      <c r="B737" s="214"/>
      <c r="C737" s="207"/>
      <c r="D737" s="232"/>
      <c r="E737" s="232"/>
      <c r="F737" s="209"/>
      <c r="G737" s="209"/>
      <c r="H737" s="209"/>
      <c r="I737" s="209"/>
      <c r="J737" s="209"/>
      <c r="K737" s="209"/>
      <c r="L737" s="209"/>
      <c r="M737" s="207"/>
      <c r="N737" s="209"/>
      <c r="O737" s="209"/>
      <c r="P737" s="209"/>
      <c r="Q737" s="209"/>
      <c r="R737" s="209"/>
      <c r="S737" s="210"/>
    </row>
    <row r="738" spans="1:19" s="14" customFormat="1" ht="57" x14ac:dyDescent="0.7">
      <c r="A738" s="248"/>
      <c r="B738" s="214"/>
      <c r="C738" s="207"/>
      <c r="D738" s="232"/>
      <c r="E738" s="232"/>
      <c r="F738" s="209"/>
      <c r="G738" s="209"/>
      <c r="H738" s="209"/>
      <c r="I738" s="209"/>
      <c r="J738" s="209"/>
      <c r="K738" s="209"/>
      <c r="L738" s="209"/>
      <c r="M738" s="207"/>
      <c r="N738" s="209"/>
      <c r="O738" s="209"/>
      <c r="P738" s="209"/>
      <c r="Q738" s="209"/>
      <c r="R738" s="209"/>
      <c r="S738" s="210"/>
    </row>
    <row r="739" spans="1:19" s="14" customFormat="1" ht="57" x14ac:dyDescent="0.7">
      <c r="A739" s="248"/>
      <c r="B739" s="214"/>
      <c r="C739" s="207"/>
      <c r="D739" s="232"/>
      <c r="E739" s="232"/>
      <c r="F739" s="209"/>
      <c r="G739" s="209"/>
      <c r="H739" s="209"/>
      <c r="I739" s="209"/>
      <c r="J739" s="209"/>
      <c r="K739" s="209"/>
      <c r="L739" s="209"/>
      <c r="M739" s="207"/>
      <c r="N739" s="209"/>
      <c r="O739" s="209"/>
      <c r="P739" s="209"/>
      <c r="Q739" s="209"/>
      <c r="R739" s="209"/>
      <c r="S739" s="210"/>
    </row>
    <row r="740" spans="1:19" s="14" customFormat="1" ht="57" x14ac:dyDescent="0.7">
      <c r="A740" s="248"/>
      <c r="B740" s="214"/>
      <c r="C740" s="207"/>
      <c r="D740" s="232"/>
      <c r="E740" s="232"/>
      <c r="F740" s="209"/>
      <c r="G740" s="209"/>
      <c r="H740" s="209"/>
      <c r="I740" s="209"/>
      <c r="J740" s="209"/>
      <c r="K740" s="209"/>
      <c r="L740" s="209"/>
      <c r="M740" s="207"/>
      <c r="N740" s="209"/>
      <c r="O740" s="209"/>
      <c r="P740" s="209"/>
      <c r="Q740" s="209"/>
      <c r="R740" s="209"/>
      <c r="S740" s="210"/>
    </row>
    <row r="741" spans="1:19" s="14" customFormat="1" ht="57" x14ac:dyDescent="0.7">
      <c r="A741" s="248"/>
      <c r="B741" s="214"/>
      <c r="C741" s="207"/>
      <c r="D741" s="232"/>
      <c r="E741" s="232"/>
      <c r="F741" s="209"/>
      <c r="G741" s="209"/>
      <c r="H741" s="209"/>
      <c r="I741" s="209"/>
      <c r="J741" s="209"/>
      <c r="K741" s="209"/>
      <c r="L741" s="209"/>
      <c r="M741" s="207"/>
      <c r="N741" s="209"/>
      <c r="O741" s="209"/>
      <c r="P741" s="209"/>
      <c r="Q741" s="209"/>
      <c r="R741" s="209"/>
      <c r="S741" s="210"/>
    </row>
    <row r="742" spans="1:19" s="14" customFormat="1" ht="57" x14ac:dyDescent="0.7">
      <c r="A742" s="248"/>
      <c r="B742" s="214"/>
      <c r="C742" s="207"/>
      <c r="D742" s="232"/>
      <c r="E742" s="232"/>
      <c r="F742" s="209"/>
      <c r="G742" s="209"/>
      <c r="H742" s="209"/>
      <c r="I742" s="209"/>
      <c r="J742" s="209"/>
      <c r="K742" s="209"/>
      <c r="L742" s="209"/>
      <c r="M742" s="207"/>
      <c r="N742" s="209"/>
      <c r="O742" s="209"/>
      <c r="P742" s="209"/>
      <c r="Q742" s="209"/>
      <c r="R742" s="209"/>
      <c r="S742" s="210"/>
    </row>
    <row r="743" spans="1:19" s="14" customFormat="1" ht="57" x14ac:dyDescent="0.7">
      <c r="A743" s="248"/>
      <c r="B743" s="214"/>
      <c r="C743" s="207"/>
      <c r="D743" s="232"/>
      <c r="E743" s="232"/>
      <c r="F743" s="209"/>
      <c r="G743" s="209"/>
      <c r="H743" s="209"/>
      <c r="I743" s="209"/>
      <c r="J743" s="209"/>
      <c r="K743" s="209"/>
      <c r="L743" s="209"/>
      <c r="M743" s="207"/>
      <c r="N743" s="209"/>
      <c r="O743" s="209"/>
      <c r="P743" s="209"/>
      <c r="Q743" s="209"/>
      <c r="R743" s="209"/>
      <c r="S743" s="210"/>
    </row>
    <row r="744" spans="1:19" s="14" customFormat="1" ht="57" x14ac:dyDescent="0.7">
      <c r="A744" s="248"/>
      <c r="B744" s="214"/>
      <c r="C744" s="207"/>
      <c r="D744" s="232"/>
      <c r="E744" s="232"/>
      <c r="F744" s="209"/>
      <c r="G744" s="209"/>
      <c r="H744" s="209"/>
      <c r="I744" s="209"/>
      <c r="J744" s="209"/>
      <c r="K744" s="209"/>
      <c r="L744" s="209"/>
      <c r="M744" s="207"/>
      <c r="N744" s="209"/>
      <c r="O744" s="209"/>
      <c r="P744" s="209"/>
      <c r="Q744" s="209"/>
      <c r="R744" s="209"/>
      <c r="S744" s="210"/>
    </row>
    <row r="745" spans="1:19" s="14" customFormat="1" ht="57" x14ac:dyDescent="0.7">
      <c r="A745" s="248"/>
      <c r="B745" s="214"/>
      <c r="C745" s="207"/>
      <c r="D745" s="232"/>
      <c r="E745" s="232"/>
      <c r="F745" s="209"/>
      <c r="G745" s="209"/>
      <c r="H745" s="209"/>
      <c r="I745" s="209"/>
      <c r="J745" s="209"/>
      <c r="K745" s="209"/>
      <c r="L745" s="209"/>
      <c r="M745" s="207"/>
      <c r="N745" s="209"/>
      <c r="O745" s="209"/>
      <c r="P745" s="209"/>
      <c r="Q745" s="209"/>
      <c r="R745" s="209"/>
      <c r="S745" s="210"/>
    </row>
    <row r="746" spans="1:19" s="14" customFormat="1" ht="57" x14ac:dyDescent="0.7">
      <c r="A746" s="248"/>
      <c r="B746" s="214"/>
      <c r="C746" s="207"/>
      <c r="D746" s="232"/>
      <c r="E746" s="232"/>
      <c r="F746" s="209"/>
      <c r="G746" s="209"/>
      <c r="H746" s="209"/>
      <c r="I746" s="209"/>
      <c r="J746" s="209"/>
      <c r="K746" s="209"/>
      <c r="L746" s="209"/>
      <c r="M746" s="207"/>
      <c r="N746" s="209"/>
      <c r="O746" s="209"/>
      <c r="P746" s="209"/>
      <c r="Q746" s="209"/>
      <c r="R746" s="209"/>
      <c r="S746" s="210"/>
    </row>
    <row r="747" spans="1:19" s="14" customFormat="1" ht="57" x14ac:dyDescent="0.7">
      <c r="A747" s="248"/>
      <c r="B747" s="214"/>
      <c r="C747" s="207"/>
      <c r="D747" s="232"/>
      <c r="E747" s="232"/>
      <c r="F747" s="209"/>
      <c r="G747" s="209"/>
      <c r="H747" s="209"/>
      <c r="I747" s="209"/>
      <c r="J747" s="209"/>
      <c r="K747" s="209"/>
      <c r="L747" s="209"/>
      <c r="M747" s="207"/>
      <c r="N747" s="209"/>
      <c r="O747" s="209"/>
      <c r="P747" s="209"/>
      <c r="Q747" s="209"/>
      <c r="R747" s="209"/>
      <c r="S747" s="210"/>
    </row>
    <row r="748" spans="1:19" s="14" customFormat="1" ht="57" x14ac:dyDescent="0.7">
      <c r="A748" s="248"/>
      <c r="B748" s="214"/>
      <c r="C748" s="207"/>
      <c r="D748" s="232"/>
      <c r="E748" s="232"/>
      <c r="F748" s="209"/>
      <c r="G748" s="209"/>
      <c r="H748" s="209"/>
      <c r="I748" s="209"/>
      <c r="J748" s="209"/>
      <c r="K748" s="209"/>
      <c r="L748" s="209"/>
      <c r="M748" s="207"/>
      <c r="N748" s="209"/>
      <c r="O748" s="209"/>
      <c r="P748" s="209"/>
      <c r="Q748" s="209"/>
      <c r="R748" s="209"/>
      <c r="S748" s="210"/>
    </row>
    <row r="749" spans="1:19" s="14" customFormat="1" ht="57" x14ac:dyDescent="0.7">
      <c r="A749" s="248"/>
      <c r="B749" s="214"/>
      <c r="C749" s="207"/>
      <c r="D749" s="232"/>
      <c r="E749" s="232"/>
      <c r="F749" s="209"/>
      <c r="G749" s="209"/>
      <c r="H749" s="209"/>
      <c r="I749" s="209"/>
      <c r="J749" s="209"/>
      <c r="K749" s="209"/>
      <c r="L749" s="209"/>
      <c r="M749" s="207"/>
      <c r="N749" s="209"/>
      <c r="O749" s="209"/>
      <c r="P749" s="209"/>
      <c r="Q749" s="209"/>
      <c r="R749" s="209"/>
      <c r="S749" s="210"/>
    </row>
    <row r="750" spans="1:19" s="14" customFormat="1" ht="57" x14ac:dyDescent="0.7">
      <c r="A750" s="248"/>
      <c r="B750" s="214"/>
      <c r="C750" s="207"/>
      <c r="D750" s="232"/>
      <c r="E750" s="232"/>
      <c r="F750" s="209"/>
      <c r="G750" s="209"/>
      <c r="H750" s="209"/>
      <c r="I750" s="209"/>
      <c r="J750" s="209"/>
      <c r="K750" s="209"/>
      <c r="L750" s="209"/>
      <c r="M750" s="207"/>
      <c r="N750" s="209"/>
      <c r="O750" s="209"/>
      <c r="P750" s="209"/>
      <c r="Q750" s="209"/>
      <c r="R750" s="209"/>
      <c r="S750" s="210"/>
    </row>
    <row r="751" spans="1:19" s="14" customFormat="1" ht="57" x14ac:dyDescent="0.7">
      <c r="A751" s="248"/>
      <c r="B751" s="214"/>
      <c r="C751" s="207"/>
      <c r="D751" s="232"/>
      <c r="E751" s="232"/>
      <c r="F751" s="209"/>
      <c r="G751" s="209"/>
      <c r="H751" s="209"/>
      <c r="I751" s="209"/>
      <c r="J751" s="209"/>
      <c r="K751" s="209"/>
      <c r="L751" s="209"/>
      <c r="M751" s="207"/>
      <c r="N751" s="209"/>
      <c r="O751" s="209"/>
      <c r="P751" s="209"/>
      <c r="Q751" s="209"/>
      <c r="R751" s="209"/>
      <c r="S751" s="210"/>
    </row>
    <row r="752" spans="1:19" s="14" customFormat="1" ht="57" x14ac:dyDescent="0.7">
      <c r="A752" s="248"/>
      <c r="B752" s="214"/>
      <c r="C752" s="207"/>
      <c r="D752" s="232"/>
      <c r="E752" s="232"/>
      <c r="F752" s="209"/>
      <c r="G752" s="209"/>
      <c r="H752" s="209"/>
      <c r="I752" s="209"/>
      <c r="J752" s="209"/>
      <c r="K752" s="209"/>
      <c r="L752" s="209"/>
      <c r="M752" s="207"/>
      <c r="N752" s="209"/>
      <c r="O752" s="209"/>
      <c r="P752" s="209"/>
      <c r="Q752" s="209"/>
      <c r="R752" s="209"/>
      <c r="S752" s="210"/>
    </row>
    <row r="753" spans="1:19" s="14" customFormat="1" ht="57" x14ac:dyDescent="0.7">
      <c r="A753" s="248"/>
      <c r="B753" s="214"/>
      <c r="C753" s="207"/>
      <c r="D753" s="232"/>
      <c r="E753" s="232"/>
      <c r="F753" s="209"/>
      <c r="G753" s="209"/>
      <c r="H753" s="209"/>
      <c r="I753" s="209"/>
      <c r="J753" s="209"/>
      <c r="K753" s="209"/>
      <c r="L753" s="209"/>
      <c r="M753" s="207"/>
      <c r="N753" s="209"/>
      <c r="O753" s="209"/>
      <c r="P753" s="209"/>
      <c r="Q753" s="209"/>
      <c r="R753" s="209"/>
      <c r="S753" s="210"/>
    </row>
    <row r="754" spans="1:19" s="14" customFormat="1" ht="57" x14ac:dyDescent="0.7">
      <c r="A754" s="248"/>
      <c r="B754" s="214"/>
      <c r="C754" s="207"/>
      <c r="D754" s="232"/>
      <c r="E754" s="232"/>
      <c r="F754" s="209"/>
      <c r="G754" s="209"/>
      <c r="H754" s="209"/>
      <c r="I754" s="209"/>
      <c r="J754" s="209"/>
      <c r="K754" s="209"/>
      <c r="L754" s="209"/>
      <c r="M754" s="207"/>
      <c r="N754" s="209"/>
      <c r="O754" s="209"/>
      <c r="P754" s="209"/>
      <c r="Q754" s="209"/>
      <c r="R754" s="209"/>
      <c r="S754" s="210"/>
    </row>
    <row r="755" spans="1:19" s="14" customFormat="1" ht="57" x14ac:dyDescent="0.7">
      <c r="A755" s="248"/>
      <c r="B755" s="214"/>
      <c r="C755" s="207"/>
      <c r="D755" s="232"/>
      <c r="E755" s="232"/>
      <c r="F755" s="209"/>
      <c r="G755" s="209"/>
      <c r="H755" s="209"/>
      <c r="I755" s="209"/>
      <c r="J755" s="209"/>
      <c r="K755" s="209"/>
      <c r="L755" s="209"/>
      <c r="M755" s="207"/>
      <c r="N755" s="209"/>
      <c r="O755" s="209"/>
      <c r="P755" s="209"/>
      <c r="Q755" s="209"/>
      <c r="R755" s="209"/>
      <c r="S755" s="210"/>
    </row>
    <row r="756" spans="1:19" s="14" customFormat="1" ht="57" x14ac:dyDescent="0.7">
      <c r="A756" s="248"/>
      <c r="B756" s="214"/>
      <c r="C756" s="207"/>
      <c r="D756" s="232"/>
      <c r="E756" s="232"/>
      <c r="F756" s="209"/>
      <c r="G756" s="209"/>
      <c r="H756" s="209"/>
      <c r="I756" s="209"/>
      <c r="J756" s="209"/>
      <c r="K756" s="209"/>
      <c r="L756" s="209"/>
      <c r="M756" s="207"/>
      <c r="N756" s="209"/>
      <c r="O756" s="209"/>
      <c r="P756" s="209"/>
      <c r="Q756" s="209"/>
      <c r="R756" s="209"/>
      <c r="S756" s="210"/>
    </row>
    <row r="757" spans="1:19" s="14" customFormat="1" ht="57" x14ac:dyDescent="0.7">
      <c r="A757" s="248"/>
      <c r="B757" s="214"/>
      <c r="C757" s="207"/>
      <c r="D757" s="232"/>
      <c r="E757" s="232"/>
      <c r="F757" s="209"/>
      <c r="G757" s="209"/>
      <c r="H757" s="209"/>
      <c r="I757" s="209"/>
      <c r="J757" s="209"/>
      <c r="K757" s="209"/>
      <c r="L757" s="209"/>
      <c r="M757" s="207"/>
      <c r="N757" s="209"/>
      <c r="O757" s="209"/>
      <c r="P757" s="209"/>
      <c r="Q757" s="209"/>
      <c r="R757" s="209"/>
      <c r="S757" s="210"/>
    </row>
    <row r="758" spans="1:19" s="14" customFormat="1" ht="57" x14ac:dyDescent="0.7">
      <c r="A758" s="248"/>
      <c r="B758" s="214"/>
      <c r="C758" s="207"/>
      <c r="D758" s="232"/>
      <c r="E758" s="232"/>
      <c r="F758" s="209"/>
      <c r="G758" s="209"/>
      <c r="H758" s="209"/>
      <c r="I758" s="209"/>
      <c r="J758" s="209"/>
      <c r="K758" s="209"/>
      <c r="L758" s="209"/>
      <c r="M758" s="207"/>
      <c r="N758" s="209"/>
      <c r="O758" s="209"/>
      <c r="P758" s="209"/>
      <c r="Q758" s="209"/>
      <c r="R758" s="209"/>
      <c r="S758" s="210"/>
    </row>
    <row r="759" spans="1:19" s="14" customFormat="1" ht="57" x14ac:dyDescent="0.7">
      <c r="A759" s="248"/>
      <c r="B759" s="214"/>
      <c r="C759" s="207"/>
      <c r="D759" s="232"/>
      <c r="E759" s="232"/>
      <c r="F759" s="209"/>
      <c r="G759" s="209"/>
      <c r="H759" s="209"/>
      <c r="I759" s="209"/>
      <c r="J759" s="209"/>
      <c r="K759" s="209"/>
      <c r="L759" s="209"/>
      <c r="M759" s="207"/>
      <c r="N759" s="209"/>
      <c r="O759" s="209"/>
      <c r="P759" s="209"/>
      <c r="Q759" s="209"/>
      <c r="R759" s="209"/>
      <c r="S759" s="210"/>
    </row>
    <row r="760" spans="1:19" s="14" customFormat="1" ht="57" x14ac:dyDescent="0.7">
      <c r="A760" s="248"/>
      <c r="B760" s="214"/>
      <c r="C760" s="207"/>
      <c r="D760" s="232"/>
      <c r="E760" s="232"/>
      <c r="F760" s="209"/>
      <c r="G760" s="209"/>
      <c r="H760" s="209"/>
      <c r="I760" s="209"/>
      <c r="J760" s="209"/>
      <c r="K760" s="209"/>
      <c r="L760" s="209"/>
      <c r="M760" s="207"/>
      <c r="N760" s="209"/>
      <c r="O760" s="209"/>
      <c r="P760" s="209"/>
      <c r="Q760" s="209"/>
      <c r="R760" s="209"/>
      <c r="S760" s="210"/>
    </row>
    <row r="761" spans="1:19" s="14" customFormat="1" ht="57" x14ac:dyDescent="0.7">
      <c r="A761" s="248"/>
      <c r="B761" s="214"/>
      <c r="C761" s="207"/>
      <c r="D761" s="232"/>
      <c r="E761" s="232"/>
      <c r="F761" s="209"/>
      <c r="G761" s="209"/>
      <c r="H761" s="209"/>
      <c r="I761" s="209"/>
      <c r="J761" s="209"/>
      <c r="K761" s="209"/>
      <c r="L761" s="209"/>
      <c r="M761" s="207"/>
      <c r="N761" s="209"/>
      <c r="O761" s="209"/>
      <c r="P761" s="209"/>
      <c r="Q761" s="209"/>
      <c r="R761" s="209"/>
      <c r="S761" s="210"/>
    </row>
    <row r="762" spans="1:19" s="14" customFormat="1" ht="57" x14ac:dyDescent="0.7">
      <c r="A762" s="248"/>
      <c r="B762" s="214"/>
      <c r="C762" s="207"/>
      <c r="D762" s="232"/>
      <c r="E762" s="232"/>
      <c r="F762" s="209"/>
      <c r="G762" s="209"/>
      <c r="H762" s="209"/>
      <c r="I762" s="209"/>
      <c r="J762" s="209"/>
      <c r="K762" s="209"/>
      <c r="L762" s="209"/>
      <c r="M762" s="207"/>
      <c r="N762" s="209"/>
      <c r="O762" s="209"/>
      <c r="P762" s="209"/>
      <c r="Q762" s="209"/>
      <c r="R762" s="209"/>
      <c r="S762" s="210"/>
    </row>
    <row r="763" spans="1:19" s="14" customFormat="1" ht="57" x14ac:dyDescent="0.7">
      <c r="A763" s="248"/>
      <c r="B763" s="214"/>
      <c r="C763" s="207"/>
      <c r="D763" s="232"/>
      <c r="E763" s="232"/>
      <c r="F763" s="209"/>
      <c r="G763" s="209"/>
      <c r="H763" s="209"/>
      <c r="I763" s="209"/>
      <c r="J763" s="209"/>
      <c r="K763" s="209"/>
      <c r="L763" s="209"/>
      <c r="M763" s="207"/>
      <c r="N763" s="209"/>
      <c r="O763" s="209"/>
      <c r="P763" s="209"/>
      <c r="Q763" s="209"/>
      <c r="R763" s="209"/>
      <c r="S763" s="210"/>
    </row>
    <row r="764" spans="1:19" s="14" customFormat="1" ht="57" x14ac:dyDescent="0.7">
      <c r="A764" s="248"/>
      <c r="B764" s="214"/>
      <c r="C764" s="207"/>
      <c r="D764" s="232"/>
      <c r="E764" s="232"/>
      <c r="F764" s="209"/>
      <c r="G764" s="209"/>
      <c r="H764" s="209"/>
      <c r="I764" s="209"/>
      <c r="J764" s="209"/>
      <c r="K764" s="209"/>
      <c r="L764" s="209"/>
      <c r="M764" s="207"/>
      <c r="N764" s="209"/>
      <c r="O764" s="209"/>
      <c r="P764" s="209"/>
      <c r="Q764" s="209"/>
      <c r="R764" s="209"/>
      <c r="S764" s="210"/>
    </row>
    <row r="765" spans="1:19" s="14" customFormat="1" ht="57" x14ac:dyDescent="0.7">
      <c r="A765" s="248"/>
      <c r="B765" s="214"/>
      <c r="C765" s="207"/>
      <c r="D765" s="232"/>
      <c r="E765" s="232"/>
      <c r="F765" s="209"/>
      <c r="G765" s="209"/>
      <c r="H765" s="209"/>
      <c r="I765" s="209"/>
      <c r="J765" s="209"/>
      <c r="K765" s="209"/>
      <c r="L765" s="209"/>
      <c r="M765" s="207"/>
      <c r="N765" s="209"/>
      <c r="O765" s="209"/>
      <c r="P765" s="209"/>
      <c r="Q765" s="209"/>
      <c r="R765" s="209"/>
      <c r="S765" s="210"/>
    </row>
    <row r="766" spans="1:19" s="14" customFormat="1" ht="57" x14ac:dyDescent="0.7">
      <c r="A766" s="248"/>
      <c r="B766" s="214"/>
      <c r="C766" s="207"/>
      <c r="D766" s="232"/>
      <c r="E766" s="232"/>
      <c r="F766" s="209"/>
      <c r="G766" s="209"/>
      <c r="H766" s="209"/>
      <c r="I766" s="209"/>
      <c r="J766" s="209"/>
      <c r="K766" s="209"/>
      <c r="L766" s="209"/>
      <c r="M766" s="207"/>
      <c r="N766" s="209"/>
      <c r="O766" s="209"/>
      <c r="P766" s="209"/>
      <c r="Q766" s="209"/>
      <c r="R766" s="209"/>
      <c r="S766" s="210"/>
    </row>
    <row r="767" spans="1:19" s="14" customFormat="1" ht="57" x14ac:dyDescent="0.7">
      <c r="A767" s="248"/>
      <c r="B767" s="214"/>
      <c r="C767" s="207"/>
      <c r="D767" s="232"/>
      <c r="E767" s="232"/>
      <c r="F767" s="209"/>
      <c r="G767" s="209"/>
      <c r="H767" s="209"/>
      <c r="I767" s="209"/>
      <c r="J767" s="209"/>
      <c r="K767" s="209"/>
      <c r="L767" s="209"/>
      <c r="M767" s="207"/>
      <c r="N767" s="209"/>
      <c r="O767" s="209"/>
      <c r="P767" s="209"/>
      <c r="Q767" s="209"/>
      <c r="R767" s="209"/>
      <c r="S767" s="210"/>
    </row>
    <row r="768" spans="1:19" s="14" customFormat="1" ht="57" x14ac:dyDescent="0.7">
      <c r="A768" s="248"/>
      <c r="B768" s="214"/>
      <c r="C768" s="207"/>
      <c r="D768" s="232"/>
      <c r="E768" s="232"/>
      <c r="F768" s="209"/>
      <c r="G768" s="209"/>
      <c r="H768" s="209"/>
      <c r="I768" s="209"/>
      <c r="J768" s="209"/>
      <c r="K768" s="209"/>
      <c r="L768" s="209"/>
      <c r="M768" s="207"/>
      <c r="N768" s="209"/>
      <c r="O768" s="209"/>
      <c r="P768" s="209"/>
      <c r="Q768" s="209"/>
      <c r="R768" s="209"/>
      <c r="S768" s="210"/>
    </row>
    <row r="769" spans="1:19" s="14" customFormat="1" ht="57" x14ac:dyDescent="0.7">
      <c r="A769" s="248"/>
      <c r="B769" s="214"/>
      <c r="C769" s="207"/>
      <c r="D769" s="232"/>
      <c r="E769" s="232"/>
      <c r="F769" s="209"/>
      <c r="G769" s="209"/>
      <c r="H769" s="209"/>
      <c r="I769" s="209"/>
      <c r="J769" s="209"/>
      <c r="K769" s="209"/>
      <c r="L769" s="209"/>
      <c r="M769" s="207"/>
      <c r="N769" s="209"/>
      <c r="O769" s="209"/>
      <c r="P769" s="209"/>
      <c r="Q769" s="209"/>
      <c r="R769" s="209"/>
      <c r="S769" s="210"/>
    </row>
    <row r="770" spans="1:19" s="14" customFormat="1" ht="57" x14ac:dyDescent="0.7">
      <c r="A770" s="248"/>
      <c r="B770" s="214"/>
      <c r="C770" s="207"/>
      <c r="D770" s="232"/>
      <c r="E770" s="232"/>
      <c r="F770" s="209"/>
      <c r="G770" s="209"/>
      <c r="H770" s="209"/>
      <c r="I770" s="209"/>
      <c r="J770" s="209"/>
      <c r="K770" s="209"/>
      <c r="L770" s="209"/>
      <c r="M770" s="207"/>
      <c r="N770" s="209"/>
      <c r="O770" s="209"/>
      <c r="P770" s="209"/>
      <c r="Q770" s="209"/>
      <c r="R770" s="209"/>
      <c r="S770" s="210"/>
    </row>
    <row r="771" spans="1:19" s="14" customFormat="1" ht="57" x14ac:dyDescent="0.7">
      <c r="A771" s="248"/>
      <c r="B771" s="214"/>
      <c r="C771" s="207"/>
      <c r="D771" s="232"/>
      <c r="E771" s="232"/>
      <c r="F771" s="209"/>
      <c r="G771" s="209"/>
      <c r="H771" s="209"/>
      <c r="I771" s="209"/>
      <c r="J771" s="209"/>
      <c r="K771" s="209"/>
      <c r="L771" s="209"/>
      <c r="M771" s="207"/>
      <c r="N771" s="209"/>
      <c r="O771" s="209"/>
      <c r="P771" s="209"/>
      <c r="Q771" s="209"/>
      <c r="R771" s="209"/>
      <c r="S771" s="210"/>
    </row>
    <row r="772" spans="1:19" s="14" customFormat="1" ht="57" x14ac:dyDescent="0.7">
      <c r="A772" s="248"/>
      <c r="B772" s="214"/>
      <c r="C772" s="207"/>
      <c r="D772" s="232"/>
      <c r="E772" s="232"/>
      <c r="F772" s="209"/>
      <c r="G772" s="209"/>
      <c r="H772" s="209"/>
      <c r="I772" s="209"/>
      <c r="J772" s="209"/>
      <c r="K772" s="209"/>
      <c r="L772" s="209"/>
      <c r="M772" s="207"/>
      <c r="N772" s="209"/>
      <c r="O772" s="209"/>
      <c r="P772" s="209"/>
      <c r="Q772" s="209"/>
      <c r="R772" s="209"/>
      <c r="S772" s="210"/>
    </row>
    <row r="773" spans="1:19" s="14" customFormat="1" ht="57" x14ac:dyDescent="0.7">
      <c r="A773" s="248"/>
      <c r="B773" s="214"/>
      <c r="C773" s="207"/>
      <c r="D773" s="232"/>
      <c r="E773" s="232"/>
      <c r="F773" s="209"/>
      <c r="G773" s="209"/>
      <c r="H773" s="209"/>
      <c r="I773" s="209"/>
      <c r="J773" s="209"/>
      <c r="K773" s="209"/>
      <c r="L773" s="209"/>
      <c r="M773" s="207"/>
      <c r="N773" s="209"/>
      <c r="O773" s="209"/>
      <c r="P773" s="209"/>
      <c r="Q773" s="209"/>
      <c r="R773" s="209"/>
      <c r="S773" s="210"/>
    </row>
    <row r="774" spans="1:19" s="14" customFormat="1" ht="57" x14ac:dyDescent="0.7">
      <c r="A774" s="248"/>
      <c r="B774" s="214"/>
      <c r="C774" s="207"/>
      <c r="D774" s="232"/>
      <c r="E774" s="232"/>
      <c r="F774" s="209"/>
      <c r="G774" s="209"/>
      <c r="H774" s="209"/>
      <c r="I774" s="209"/>
      <c r="J774" s="209"/>
      <c r="K774" s="209"/>
      <c r="L774" s="209"/>
      <c r="M774" s="207"/>
      <c r="N774" s="209"/>
      <c r="O774" s="209"/>
      <c r="P774" s="209"/>
      <c r="Q774" s="209"/>
      <c r="R774" s="209"/>
      <c r="S774" s="210"/>
    </row>
    <row r="775" spans="1:19" s="14" customFormat="1" ht="57" x14ac:dyDescent="0.7">
      <c r="A775" s="248"/>
      <c r="B775" s="214"/>
      <c r="C775" s="207"/>
      <c r="D775" s="232"/>
      <c r="E775" s="232"/>
      <c r="F775" s="209"/>
      <c r="G775" s="209"/>
      <c r="H775" s="209"/>
      <c r="I775" s="209"/>
      <c r="J775" s="209"/>
      <c r="K775" s="209"/>
      <c r="L775" s="209"/>
      <c r="M775" s="207"/>
      <c r="N775" s="209"/>
      <c r="O775" s="209"/>
      <c r="P775" s="209"/>
      <c r="Q775" s="209"/>
      <c r="R775" s="209"/>
      <c r="S775" s="210"/>
    </row>
    <row r="776" spans="1:19" s="14" customFormat="1" ht="57" x14ac:dyDescent="0.7">
      <c r="A776" s="248"/>
      <c r="B776" s="214"/>
      <c r="C776" s="207"/>
      <c r="D776" s="232"/>
      <c r="E776" s="232"/>
      <c r="F776" s="209"/>
      <c r="G776" s="209"/>
      <c r="H776" s="209"/>
      <c r="I776" s="209"/>
      <c r="J776" s="209"/>
      <c r="K776" s="209"/>
      <c r="L776" s="209"/>
      <c r="M776" s="207"/>
      <c r="N776" s="209"/>
      <c r="O776" s="209"/>
      <c r="P776" s="209"/>
      <c r="Q776" s="209"/>
      <c r="R776" s="209"/>
      <c r="S776" s="210"/>
    </row>
    <row r="777" spans="1:19" s="14" customFormat="1" ht="57" x14ac:dyDescent="0.7">
      <c r="A777" s="248"/>
      <c r="B777" s="214"/>
      <c r="C777" s="207"/>
      <c r="D777" s="232"/>
      <c r="E777" s="232"/>
      <c r="F777" s="209"/>
      <c r="G777" s="209"/>
      <c r="H777" s="209"/>
      <c r="I777" s="209"/>
      <c r="J777" s="209"/>
      <c r="K777" s="209"/>
      <c r="L777" s="209"/>
      <c r="M777" s="207"/>
      <c r="N777" s="209"/>
      <c r="O777" s="209"/>
      <c r="P777" s="209"/>
      <c r="Q777" s="209"/>
      <c r="R777" s="209"/>
      <c r="S777" s="210"/>
    </row>
    <row r="778" spans="1:19" s="14" customFormat="1" ht="57" x14ac:dyDescent="0.7">
      <c r="A778" s="248"/>
      <c r="B778" s="214"/>
      <c r="C778" s="207"/>
      <c r="D778" s="232"/>
      <c r="E778" s="232"/>
      <c r="F778" s="209"/>
      <c r="G778" s="209"/>
      <c r="H778" s="209"/>
      <c r="I778" s="209"/>
      <c r="J778" s="209"/>
      <c r="K778" s="209"/>
      <c r="L778" s="209"/>
      <c r="M778" s="207"/>
      <c r="N778" s="209"/>
      <c r="O778" s="209"/>
      <c r="P778" s="209"/>
      <c r="Q778" s="209"/>
      <c r="R778" s="209"/>
      <c r="S778" s="210"/>
    </row>
    <row r="779" spans="1:19" s="14" customFormat="1" ht="57" x14ac:dyDescent="0.7">
      <c r="A779" s="248"/>
      <c r="B779" s="214"/>
      <c r="C779" s="207"/>
      <c r="D779" s="232"/>
      <c r="E779" s="232"/>
      <c r="F779" s="209"/>
      <c r="G779" s="209"/>
      <c r="H779" s="209"/>
      <c r="I779" s="209"/>
      <c r="J779" s="209"/>
      <c r="K779" s="209"/>
      <c r="L779" s="209"/>
      <c r="M779" s="207"/>
      <c r="N779" s="209"/>
      <c r="O779" s="209"/>
      <c r="P779" s="209"/>
      <c r="Q779" s="209"/>
      <c r="R779" s="209"/>
      <c r="S779" s="210"/>
    </row>
    <row r="780" spans="1:19" s="14" customFormat="1" ht="57" x14ac:dyDescent="0.7">
      <c r="A780" s="248"/>
      <c r="B780" s="214"/>
      <c r="C780" s="207"/>
      <c r="D780" s="232"/>
      <c r="E780" s="232"/>
      <c r="F780" s="209"/>
      <c r="G780" s="209"/>
      <c r="H780" s="209"/>
      <c r="I780" s="209"/>
      <c r="J780" s="209"/>
      <c r="K780" s="209"/>
      <c r="L780" s="209"/>
      <c r="M780" s="207"/>
      <c r="N780" s="209"/>
      <c r="O780" s="209"/>
      <c r="P780" s="209"/>
      <c r="Q780" s="209"/>
      <c r="R780" s="209"/>
      <c r="S780" s="210"/>
    </row>
    <row r="781" spans="1:19" s="14" customFormat="1" ht="57" x14ac:dyDescent="0.7">
      <c r="A781" s="248"/>
      <c r="B781" s="214"/>
      <c r="C781" s="207"/>
      <c r="D781" s="232"/>
      <c r="E781" s="232"/>
      <c r="F781" s="209"/>
      <c r="G781" s="209"/>
      <c r="H781" s="209"/>
      <c r="I781" s="209"/>
      <c r="J781" s="209"/>
      <c r="K781" s="209"/>
      <c r="L781" s="209"/>
      <c r="M781" s="207"/>
      <c r="N781" s="209"/>
      <c r="O781" s="209"/>
      <c r="P781" s="209"/>
      <c r="Q781" s="209"/>
      <c r="R781" s="209"/>
      <c r="S781" s="210"/>
    </row>
    <row r="782" spans="1:19" s="14" customFormat="1" ht="57" x14ac:dyDescent="0.7">
      <c r="A782" s="248"/>
      <c r="B782" s="214"/>
      <c r="C782" s="207"/>
      <c r="D782" s="232"/>
      <c r="E782" s="232"/>
      <c r="F782" s="209"/>
      <c r="G782" s="209"/>
      <c r="H782" s="209"/>
      <c r="I782" s="209"/>
      <c r="J782" s="209"/>
      <c r="K782" s="209"/>
      <c r="L782" s="209"/>
      <c r="M782" s="207"/>
      <c r="N782" s="209"/>
      <c r="O782" s="209"/>
      <c r="P782" s="209"/>
      <c r="Q782" s="209"/>
      <c r="R782" s="209"/>
      <c r="S782" s="210"/>
    </row>
    <row r="783" spans="1:19" s="14" customFormat="1" ht="57" x14ac:dyDescent="0.7">
      <c r="A783" s="248"/>
      <c r="B783" s="214"/>
      <c r="C783" s="207"/>
      <c r="D783" s="232"/>
      <c r="E783" s="232"/>
      <c r="F783" s="209"/>
      <c r="G783" s="209"/>
      <c r="H783" s="209"/>
      <c r="I783" s="209"/>
      <c r="J783" s="209"/>
      <c r="K783" s="209"/>
      <c r="L783" s="209"/>
      <c r="M783" s="207"/>
      <c r="N783" s="209"/>
      <c r="O783" s="209"/>
      <c r="P783" s="209"/>
      <c r="Q783" s="209"/>
      <c r="R783" s="209"/>
      <c r="S783" s="210"/>
    </row>
    <row r="784" spans="1:19" s="14" customFormat="1" ht="57" x14ac:dyDescent="0.7">
      <c r="A784" s="248"/>
      <c r="B784" s="214"/>
      <c r="C784" s="207"/>
      <c r="D784" s="232"/>
      <c r="E784" s="232"/>
      <c r="F784" s="209"/>
      <c r="G784" s="209"/>
      <c r="H784" s="209"/>
      <c r="I784" s="209"/>
      <c r="J784" s="209"/>
      <c r="K784" s="209"/>
      <c r="L784" s="209"/>
      <c r="M784" s="207"/>
      <c r="N784" s="209"/>
      <c r="O784" s="209"/>
      <c r="P784" s="209"/>
      <c r="Q784" s="209"/>
      <c r="R784" s="209"/>
      <c r="S784" s="210"/>
    </row>
    <row r="785" spans="1:19" s="14" customFormat="1" ht="57" x14ac:dyDescent="0.7">
      <c r="A785" s="248"/>
      <c r="B785" s="214"/>
      <c r="C785" s="207"/>
      <c r="D785" s="232"/>
      <c r="E785" s="232"/>
      <c r="F785" s="209"/>
      <c r="G785" s="209"/>
      <c r="H785" s="209"/>
      <c r="I785" s="209"/>
      <c r="J785" s="209"/>
      <c r="K785" s="209"/>
      <c r="L785" s="209"/>
      <c r="M785" s="207"/>
      <c r="N785" s="209"/>
      <c r="O785" s="209"/>
      <c r="P785" s="209"/>
      <c r="Q785" s="209"/>
      <c r="R785" s="209"/>
      <c r="S785" s="210"/>
    </row>
    <row r="786" spans="1:19" s="14" customFormat="1" ht="57" x14ac:dyDescent="0.7">
      <c r="A786" s="248"/>
      <c r="B786" s="214"/>
      <c r="C786" s="207"/>
      <c r="D786" s="232"/>
      <c r="E786" s="232"/>
      <c r="F786" s="209"/>
      <c r="G786" s="209"/>
      <c r="H786" s="209"/>
      <c r="I786" s="209"/>
      <c r="J786" s="209"/>
      <c r="K786" s="209"/>
      <c r="L786" s="209"/>
      <c r="M786" s="207"/>
      <c r="N786" s="209"/>
      <c r="O786" s="209"/>
      <c r="P786" s="209"/>
      <c r="Q786" s="209"/>
      <c r="R786" s="209"/>
      <c r="S786" s="210"/>
    </row>
    <row r="787" spans="1:19" s="14" customFormat="1" ht="57" x14ac:dyDescent="0.7">
      <c r="A787" s="248"/>
      <c r="B787" s="214"/>
      <c r="C787" s="207"/>
      <c r="D787" s="232"/>
      <c r="E787" s="232"/>
      <c r="F787" s="209"/>
      <c r="G787" s="209"/>
      <c r="H787" s="209"/>
      <c r="I787" s="209"/>
      <c r="J787" s="209"/>
      <c r="K787" s="209"/>
      <c r="L787" s="209"/>
      <c r="M787" s="207"/>
      <c r="N787" s="209"/>
      <c r="O787" s="209"/>
      <c r="P787" s="209"/>
      <c r="Q787" s="209"/>
      <c r="R787" s="209"/>
      <c r="S787" s="210"/>
    </row>
    <row r="788" spans="1:19" s="14" customFormat="1" ht="57" x14ac:dyDescent="0.7">
      <c r="A788" s="248"/>
      <c r="B788" s="214"/>
      <c r="C788" s="207"/>
      <c r="D788" s="232"/>
      <c r="E788" s="232"/>
      <c r="F788" s="209"/>
      <c r="G788" s="209"/>
      <c r="H788" s="209"/>
      <c r="I788" s="209"/>
      <c r="J788" s="209"/>
      <c r="K788" s="209"/>
      <c r="L788" s="209"/>
      <c r="M788" s="207"/>
      <c r="N788" s="209"/>
      <c r="O788" s="209"/>
      <c r="P788" s="209"/>
      <c r="Q788" s="209"/>
      <c r="R788" s="209"/>
      <c r="S788" s="210"/>
    </row>
    <row r="789" spans="1:19" s="14" customFormat="1" ht="57" x14ac:dyDescent="0.7">
      <c r="A789" s="248"/>
      <c r="B789" s="214"/>
      <c r="C789" s="207"/>
      <c r="D789" s="232"/>
      <c r="E789" s="232"/>
      <c r="F789" s="209"/>
      <c r="G789" s="209"/>
      <c r="H789" s="209"/>
      <c r="I789" s="209"/>
      <c r="J789" s="209"/>
      <c r="K789" s="209"/>
      <c r="L789" s="209"/>
      <c r="M789" s="207"/>
      <c r="N789" s="209"/>
      <c r="O789" s="209"/>
      <c r="P789" s="209"/>
      <c r="Q789" s="209"/>
      <c r="R789" s="209"/>
      <c r="S789" s="210"/>
    </row>
    <row r="790" spans="1:19" s="14" customFormat="1" ht="57" x14ac:dyDescent="0.7">
      <c r="A790" s="248"/>
      <c r="B790" s="214"/>
      <c r="C790" s="207"/>
      <c r="D790" s="232"/>
      <c r="E790" s="232"/>
      <c r="F790" s="209"/>
      <c r="G790" s="209"/>
      <c r="H790" s="209"/>
      <c r="I790" s="209"/>
      <c r="J790" s="209"/>
      <c r="K790" s="209"/>
      <c r="L790" s="209"/>
      <c r="M790" s="207"/>
      <c r="N790" s="209"/>
      <c r="O790" s="209"/>
      <c r="P790" s="209"/>
      <c r="Q790" s="209"/>
      <c r="R790" s="209"/>
      <c r="S790" s="210"/>
    </row>
    <row r="791" spans="1:19" s="14" customFormat="1" ht="57" x14ac:dyDescent="0.7">
      <c r="A791" s="248"/>
      <c r="B791" s="214"/>
      <c r="C791" s="207"/>
      <c r="D791" s="232"/>
      <c r="E791" s="232"/>
      <c r="F791" s="209"/>
      <c r="G791" s="209"/>
      <c r="H791" s="209"/>
      <c r="I791" s="209"/>
      <c r="J791" s="209"/>
      <c r="K791" s="209"/>
      <c r="L791" s="209"/>
      <c r="M791" s="207"/>
      <c r="N791" s="209"/>
      <c r="O791" s="209"/>
      <c r="P791" s="209"/>
      <c r="Q791" s="209"/>
      <c r="R791" s="209"/>
      <c r="S791" s="210"/>
    </row>
    <row r="792" spans="1:19" s="14" customFormat="1" ht="57" x14ac:dyDescent="0.7">
      <c r="A792" s="248"/>
      <c r="B792" s="214"/>
      <c r="C792" s="207"/>
      <c r="D792" s="232"/>
      <c r="E792" s="232"/>
      <c r="F792" s="209"/>
      <c r="G792" s="209"/>
      <c r="H792" s="209"/>
      <c r="I792" s="209"/>
      <c r="J792" s="209"/>
      <c r="K792" s="209"/>
      <c r="L792" s="209"/>
      <c r="M792" s="207"/>
      <c r="N792" s="209"/>
      <c r="O792" s="209"/>
      <c r="P792" s="209"/>
      <c r="Q792" s="209"/>
      <c r="R792" s="209"/>
      <c r="S792" s="210"/>
    </row>
    <row r="793" spans="1:19" s="14" customFormat="1" ht="57" x14ac:dyDescent="0.7">
      <c r="A793" s="248"/>
      <c r="B793" s="214"/>
      <c r="C793" s="207"/>
      <c r="D793" s="232"/>
      <c r="E793" s="232"/>
      <c r="F793" s="209"/>
      <c r="G793" s="209"/>
      <c r="H793" s="209"/>
      <c r="I793" s="209"/>
      <c r="J793" s="209"/>
      <c r="K793" s="209"/>
      <c r="L793" s="209"/>
      <c r="M793" s="207"/>
      <c r="N793" s="209"/>
      <c r="O793" s="209"/>
      <c r="P793" s="209"/>
      <c r="Q793" s="209"/>
      <c r="R793" s="209"/>
      <c r="S793" s="210"/>
    </row>
    <row r="794" spans="1:19" s="14" customFormat="1" ht="57" x14ac:dyDescent="0.7">
      <c r="A794" s="248"/>
      <c r="B794" s="214"/>
      <c r="C794" s="207"/>
      <c r="D794" s="232"/>
      <c r="E794" s="232"/>
      <c r="F794" s="209"/>
      <c r="G794" s="209"/>
      <c r="H794" s="209"/>
      <c r="I794" s="209"/>
      <c r="J794" s="209"/>
      <c r="K794" s="209"/>
      <c r="L794" s="209"/>
      <c r="M794" s="207"/>
      <c r="N794" s="209"/>
      <c r="O794" s="209"/>
      <c r="P794" s="209"/>
      <c r="Q794" s="209"/>
      <c r="R794" s="209"/>
      <c r="S794" s="210"/>
    </row>
    <row r="795" spans="1:19" s="14" customFormat="1" ht="57" x14ac:dyDescent="0.7">
      <c r="A795" s="248"/>
      <c r="B795" s="214"/>
      <c r="C795" s="207"/>
      <c r="D795" s="232"/>
      <c r="E795" s="232"/>
      <c r="F795" s="209"/>
      <c r="G795" s="209"/>
      <c r="H795" s="209"/>
      <c r="I795" s="209"/>
      <c r="J795" s="209"/>
      <c r="K795" s="209"/>
      <c r="L795" s="209"/>
      <c r="M795" s="207"/>
      <c r="N795" s="209"/>
      <c r="O795" s="209"/>
      <c r="P795" s="209"/>
      <c r="Q795" s="209"/>
      <c r="R795" s="209"/>
      <c r="S795" s="210"/>
    </row>
    <row r="796" spans="1:19" s="14" customFormat="1" ht="57" x14ac:dyDescent="0.7">
      <c r="A796" s="248"/>
      <c r="B796" s="214"/>
      <c r="C796" s="207"/>
      <c r="D796" s="232"/>
      <c r="E796" s="232"/>
      <c r="F796" s="209"/>
      <c r="G796" s="209"/>
      <c r="H796" s="209"/>
      <c r="I796" s="209"/>
      <c r="J796" s="209"/>
      <c r="K796" s="209"/>
      <c r="L796" s="209"/>
      <c r="M796" s="207"/>
      <c r="N796" s="209"/>
      <c r="O796" s="209"/>
      <c r="P796" s="209"/>
      <c r="Q796" s="209"/>
      <c r="R796" s="209"/>
      <c r="S796" s="210"/>
    </row>
    <row r="797" spans="1:19" s="14" customFormat="1" ht="57" x14ac:dyDescent="0.7">
      <c r="A797" s="248"/>
      <c r="B797" s="214"/>
      <c r="C797" s="207"/>
      <c r="D797" s="232"/>
      <c r="E797" s="232"/>
      <c r="F797" s="209"/>
      <c r="G797" s="209"/>
      <c r="H797" s="209"/>
      <c r="I797" s="209"/>
      <c r="J797" s="209"/>
      <c r="K797" s="209"/>
      <c r="L797" s="209"/>
      <c r="M797" s="207"/>
      <c r="N797" s="209"/>
      <c r="O797" s="209"/>
      <c r="P797" s="209"/>
      <c r="Q797" s="209"/>
      <c r="R797" s="209"/>
      <c r="S797" s="210"/>
    </row>
    <row r="798" spans="1:19" s="14" customFormat="1" ht="57" x14ac:dyDescent="0.7">
      <c r="A798" s="248"/>
      <c r="B798" s="214"/>
      <c r="C798" s="207"/>
      <c r="D798" s="232"/>
      <c r="E798" s="232"/>
      <c r="F798" s="209"/>
      <c r="G798" s="209"/>
      <c r="H798" s="209"/>
      <c r="I798" s="209"/>
      <c r="J798" s="209"/>
      <c r="K798" s="209"/>
      <c r="L798" s="209"/>
      <c r="M798" s="207"/>
      <c r="N798" s="209"/>
      <c r="O798" s="209"/>
      <c r="P798" s="209"/>
      <c r="Q798" s="209"/>
      <c r="R798" s="209"/>
      <c r="S798" s="210"/>
    </row>
    <row r="799" spans="1:19" s="14" customFormat="1" ht="57" x14ac:dyDescent="0.7">
      <c r="A799" s="248"/>
      <c r="B799" s="214"/>
      <c r="C799" s="207"/>
      <c r="D799" s="232"/>
      <c r="E799" s="232"/>
      <c r="F799" s="209"/>
      <c r="G799" s="209"/>
      <c r="H799" s="209"/>
      <c r="I799" s="209"/>
      <c r="J799" s="209"/>
      <c r="K799" s="209"/>
      <c r="L799" s="209"/>
      <c r="M799" s="207"/>
      <c r="N799" s="209"/>
      <c r="O799" s="209"/>
      <c r="P799" s="209"/>
      <c r="Q799" s="209"/>
      <c r="R799" s="209"/>
      <c r="S799" s="210"/>
    </row>
    <row r="800" spans="1:19" s="14" customFormat="1" ht="57" x14ac:dyDescent="0.7">
      <c r="A800" s="248"/>
      <c r="B800" s="214"/>
      <c r="C800" s="207"/>
      <c r="D800" s="232"/>
      <c r="E800" s="232"/>
      <c r="F800" s="209"/>
      <c r="G800" s="209"/>
      <c r="H800" s="209"/>
      <c r="I800" s="209"/>
      <c r="J800" s="209"/>
      <c r="K800" s="209"/>
      <c r="L800" s="209"/>
      <c r="M800" s="207"/>
      <c r="N800" s="209"/>
      <c r="O800" s="209"/>
      <c r="P800" s="209"/>
      <c r="Q800" s="209"/>
      <c r="R800" s="209"/>
      <c r="S800" s="210"/>
    </row>
    <row r="801" spans="1:19" s="14" customFormat="1" ht="57" x14ac:dyDescent="0.7">
      <c r="A801" s="248"/>
      <c r="B801" s="214"/>
      <c r="C801" s="207"/>
      <c r="D801" s="232"/>
      <c r="E801" s="232"/>
      <c r="F801" s="209"/>
      <c r="G801" s="209"/>
      <c r="H801" s="209"/>
      <c r="I801" s="209"/>
      <c r="J801" s="209"/>
      <c r="K801" s="209"/>
      <c r="L801" s="209"/>
      <c r="M801" s="207"/>
      <c r="N801" s="209"/>
      <c r="O801" s="209"/>
      <c r="P801" s="209"/>
      <c r="Q801" s="209"/>
      <c r="R801" s="209"/>
      <c r="S801" s="210"/>
    </row>
    <row r="802" spans="1:19" s="14" customFormat="1" ht="57" x14ac:dyDescent="0.7">
      <c r="A802" s="248"/>
      <c r="B802" s="214"/>
      <c r="C802" s="207"/>
      <c r="D802" s="232"/>
      <c r="E802" s="232"/>
      <c r="F802" s="209"/>
      <c r="G802" s="209"/>
      <c r="H802" s="209"/>
      <c r="I802" s="209"/>
      <c r="J802" s="209"/>
      <c r="K802" s="209"/>
      <c r="L802" s="209"/>
      <c r="M802" s="207"/>
      <c r="N802" s="209"/>
      <c r="O802" s="209"/>
      <c r="P802" s="209"/>
      <c r="Q802" s="209"/>
      <c r="R802" s="209"/>
      <c r="S802" s="210"/>
    </row>
    <row r="803" spans="1:19" s="14" customFormat="1" ht="57" x14ac:dyDescent="0.7">
      <c r="A803" s="248"/>
      <c r="B803" s="214"/>
      <c r="C803" s="207"/>
      <c r="D803" s="232"/>
      <c r="E803" s="232"/>
      <c r="F803" s="209"/>
      <c r="G803" s="209"/>
      <c r="H803" s="209"/>
      <c r="I803" s="209"/>
      <c r="J803" s="209"/>
      <c r="K803" s="209"/>
      <c r="L803" s="209"/>
      <c r="M803" s="207"/>
      <c r="N803" s="209"/>
      <c r="O803" s="209"/>
      <c r="P803" s="209"/>
      <c r="Q803" s="209"/>
      <c r="R803" s="209"/>
      <c r="S803" s="210"/>
    </row>
    <row r="804" spans="1:19" s="14" customFormat="1" ht="57" x14ac:dyDescent="0.7">
      <c r="A804" s="248"/>
      <c r="B804" s="214"/>
      <c r="C804" s="207"/>
      <c r="D804" s="232"/>
      <c r="E804" s="232"/>
      <c r="F804" s="209"/>
      <c r="G804" s="209"/>
      <c r="H804" s="209"/>
      <c r="I804" s="209"/>
      <c r="J804" s="209"/>
      <c r="K804" s="209"/>
      <c r="L804" s="209"/>
      <c r="M804" s="207"/>
      <c r="N804" s="209"/>
      <c r="O804" s="209"/>
      <c r="P804" s="209"/>
      <c r="Q804" s="209"/>
      <c r="R804" s="209"/>
      <c r="S804" s="210"/>
    </row>
    <row r="805" spans="1:19" s="14" customFormat="1" ht="57" x14ac:dyDescent="0.7">
      <c r="A805" s="248"/>
      <c r="B805" s="214"/>
      <c r="C805" s="207"/>
      <c r="D805" s="232"/>
      <c r="E805" s="232"/>
      <c r="F805" s="209"/>
      <c r="G805" s="209"/>
      <c r="H805" s="209"/>
      <c r="I805" s="209"/>
      <c r="J805" s="209"/>
      <c r="K805" s="209"/>
      <c r="L805" s="209"/>
      <c r="M805" s="207"/>
      <c r="N805" s="209"/>
      <c r="O805" s="209"/>
      <c r="P805" s="209"/>
      <c r="Q805" s="209"/>
      <c r="R805" s="209"/>
      <c r="S805" s="210"/>
    </row>
    <row r="806" spans="1:19" s="14" customFormat="1" ht="57" x14ac:dyDescent="0.7">
      <c r="A806" s="248"/>
      <c r="B806" s="214"/>
      <c r="C806" s="207"/>
      <c r="D806" s="232"/>
      <c r="E806" s="232"/>
      <c r="F806" s="209"/>
      <c r="G806" s="209"/>
      <c r="H806" s="209"/>
      <c r="I806" s="209"/>
      <c r="J806" s="209"/>
      <c r="K806" s="209"/>
      <c r="L806" s="209"/>
      <c r="M806" s="207"/>
      <c r="N806" s="209"/>
      <c r="O806" s="209"/>
      <c r="P806" s="209"/>
      <c r="Q806" s="209"/>
      <c r="R806" s="209"/>
      <c r="S806" s="210"/>
    </row>
    <row r="807" spans="1:19" s="14" customFormat="1" ht="57" x14ac:dyDescent="0.7">
      <c r="A807" s="248"/>
      <c r="B807" s="214"/>
      <c r="C807" s="207"/>
      <c r="D807" s="232"/>
      <c r="E807" s="232"/>
      <c r="F807" s="209"/>
      <c r="G807" s="209"/>
      <c r="H807" s="209"/>
      <c r="I807" s="209"/>
      <c r="J807" s="209"/>
      <c r="K807" s="209"/>
      <c r="L807" s="209"/>
      <c r="M807" s="207"/>
      <c r="N807" s="209"/>
      <c r="O807" s="209"/>
      <c r="P807" s="209"/>
      <c r="Q807" s="209"/>
      <c r="R807" s="209"/>
      <c r="S807" s="210"/>
    </row>
    <row r="808" spans="1:19" s="14" customFormat="1" ht="57" x14ac:dyDescent="0.7">
      <c r="A808" s="248"/>
      <c r="B808" s="214"/>
      <c r="C808" s="207"/>
      <c r="D808" s="232"/>
      <c r="E808" s="232"/>
      <c r="F808" s="209"/>
      <c r="G808" s="209"/>
      <c r="H808" s="209"/>
      <c r="I808" s="209"/>
      <c r="J808" s="209"/>
      <c r="K808" s="209"/>
      <c r="L808" s="209"/>
      <c r="M808" s="207"/>
      <c r="N808" s="209"/>
      <c r="O808" s="209"/>
      <c r="P808" s="209"/>
      <c r="Q808" s="209"/>
      <c r="R808" s="209"/>
      <c r="S808" s="210"/>
    </row>
    <row r="809" spans="1:19" s="14" customFormat="1" ht="57" x14ac:dyDescent="0.7">
      <c r="A809" s="248"/>
      <c r="B809" s="214"/>
      <c r="C809" s="207"/>
      <c r="D809" s="232"/>
      <c r="E809" s="232"/>
      <c r="F809" s="209"/>
      <c r="G809" s="209"/>
      <c r="H809" s="209"/>
      <c r="I809" s="209"/>
      <c r="J809" s="209"/>
      <c r="K809" s="209"/>
      <c r="L809" s="209"/>
      <c r="M809" s="207"/>
      <c r="N809" s="209"/>
      <c r="O809" s="209"/>
      <c r="P809" s="209"/>
      <c r="Q809" s="209"/>
      <c r="R809" s="209"/>
      <c r="S809" s="210"/>
    </row>
    <row r="810" spans="1:19" s="14" customFormat="1" ht="57" x14ac:dyDescent="0.7">
      <c r="A810" s="248"/>
      <c r="B810" s="214"/>
      <c r="C810" s="207"/>
      <c r="D810" s="232"/>
      <c r="E810" s="232"/>
      <c r="F810" s="209"/>
      <c r="G810" s="209"/>
      <c r="H810" s="209"/>
      <c r="I810" s="209"/>
      <c r="J810" s="209"/>
      <c r="K810" s="209"/>
      <c r="L810" s="209"/>
      <c r="M810" s="207"/>
      <c r="N810" s="209"/>
      <c r="O810" s="209"/>
      <c r="P810" s="209"/>
      <c r="Q810" s="209"/>
      <c r="R810" s="209"/>
      <c r="S810" s="210"/>
    </row>
    <row r="811" spans="1:19" s="14" customFormat="1" ht="57" x14ac:dyDescent="0.7">
      <c r="A811" s="248"/>
      <c r="B811" s="214"/>
      <c r="C811" s="207"/>
      <c r="D811" s="232"/>
      <c r="E811" s="232"/>
      <c r="F811" s="209"/>
      <c r="G811" s="209"/>
      <c r="H811" s="209"/>
      <c r="I811" s="209"/>
      <c r="J811" s="209"/>
      <c r="K811" s="209"/>
      <c r="L811" s="209"/>
      <c r="M811" s="207"/>
      <c r="N811" s="209"/>
      <c r="O811" s="209"/>
      <c r="P811" s="209"/>
      <c r="Q811" s="209"/>
      <c r="R811" s="209"/>
      <c r="S811" s="210"/>
    </row>
    <row r="812" spans="1:19" s="14" customFormat="1" ht="57" x14ac:dyDescent="0.7">
      <c r="A812" s="248"/>
      <c r="B812" s="214"/>
      <c r="C812" s="207"/>
      <c r="D812" s="232"/>
      <c r="E812" s="232"/>
      <c r="F812" s="209"/>
      <c r="G812" s="209"/>
      <c r="H812" s="209"/>
      <c r="I812" s="209"/>
      <c r="J812" s="209"/>
      <c r="K812" s="209"/>
      <c r="L812" s="209"/>
      <c r="M812" s="207"/>
      <c r="N812" s="209"/>
      <c r="O812" s="209"/>
      <c r="P812" s="209"/>
      <c r="Q812" s="209"/>
      <c r="R812" s="209"/>
      <c r="S812" s="210"/>
    </row>
    <row r="813" spans="1:19" s="14" customFormat="1" ht="57" x14ac:dyDescent="0.7">
      <c r="A813" s="248"/>
      <c r="B813" s="214"/>
      <c r="C813" s="207"/>
      <c r="D813" s="232"/>
      <c r="E813" s="232"/>
      <c r="F813" s="209"/>
      <c r="G813" s="209"/>
      <c r="H813" s="209"/>
      <c r="I813" s="209"/>
      <c r="J813" s="209"/>
      <c r="K813" s="209"/>
      <c r="L813" s="209"/>
      <c r="M813" s="207"/>
      <c r="N813" s="209"/>
      <c r="O813" s="209"/>
      <c r="P813" s="209"/>
      <c r="Q813" s="209"/>
      <c r="R813" s="209"/>
      <c r="S813" s="210"/>
    </row>
    <row r="814" spans="1:19" s="14" customFormat="1" ht="57" x14ac:dyDescent="0.7">
      <c r="A814" s="248"/>
      <c r="B814" s="214"/>
      <c r="C814" s="207"/>
      <c r="D814" s="232"/>
      <c r="E814" s="232"/>
      <c r="F814" s="209"/>
      <c r="G814" s="209"/>
      <c r="H814" s="209"/>
      <c r="I814" s="209"/>
      <c r="J814" s="209"/>
      <c r="K814" s="209"/>
      <c r="L814" s="209"/>
      <c r="M814" s="207"/>
      <c r="N814" s="209"/>
      <c r="O814" s="209"/>
      <c r="P814" s="209"/>
      <c r="Q814" s="209"/>
      <c r="R814" s="209"/>
      <c r="S814" s="210"/>
    </row>
    <row r="815" spans="1:19" s="14" customFormat="1" ht="57" x14ac:dyDescent="0.7">
      <c r="A815" s="248"/>
      <c r="B815" s="214"/>
      <c r="C815" s="207"/>
      <c r="D815" s="232"/>
      <c r="E815" s="232"/>
      <c r="F815" s="209"/>
      <c r="G815" s="209"/>
      <c r="H815" s="209"/>
      <c r="I815" s="209"/>
      <c r="J815" s="209"/>
      <c r="K815" s="209"/>
      <c r="L815" s="209"/>
      <c r="M815" s="207"/>
      <c r="N815" s="209"/>
      <c r="O815" s="209"/>
      <c r="P815" s="209"/>
      <c r="Q815" s="209"/>
      <c r="R815" s="209"/>
      <c r="S815" s="210"/>
    </row>
    <row r="816" spans="1:19" s="14" customFormat="1" ht="57" x14ac:dyDescent="0.7">
      <c r="A816" s="248"/>
      <c r="B816" s="214"/>
      <c r="C816" s="207"/>
      <c r="D816" s="232"/>
      <c r="E816" s="232"/>
      <c r="F816" s="209"/>
      <c r="G816" s="209"/>
      <c r="H816" s="209"/>
      <c r="I816" s="209"/>
      <c r="J816" s="209"/>
      <c r="K816" s="209"/>
      <c r="L816" s="209"/>
      <c r="M816" s="207"/>
      <c r="N816" s="209"/>
      <c r="O816" s="209"/>
      <c r="P816" s="209"/>
      <c r="Q816" s="209"/>
      <c r="R816" s="209"/>
      <c r="S816" s="210"/>
    </row>
    <row r="817" spans="1:19" s="14" customFormat="1" ht="57" x14ac:dyDescent="0.7">
      <c r="A817" s="248"/>
      <c r="B817" s="214"/>
      <c r="C817" s="207"/>
      <c r="D817" s="232"/>
      <c r="E817" s="232"/>
      <c r="F817" s="209"/>
      <c r="G817" s="209"/>
      <c r="H817" s="209"/>
      <c r="I817" s="209"/>
      <c r="J817" s="209"/>
      <c r="K817" s="209"/>
      <c r="L817" s="209"/>
      <c r="M817" s="207"/>
      <c r="N817" s="209"/>
      <c r="O817" s="209"/>
      <c r="P817" s="209"/>
      <c r="Q817" s="209"/>
      <c r="R817" s="209"/>
      <c r="S817" s="210"/>
    </row>
    <row r="818" spans="1:19" s="14" customFormat="1" ht="57" x14ac:dyDescent="0.7">
      <c r="A818" s="248"/>
      <c r="B818" s="214"/>
      <c r="C818" s="207"/>
      <c r="D818" s="232"/>
      <c r="E818" s="232"/>
      <c r="F818" s="209"/>
      <c r="G818" s="209"/>
      <c r="H818" s="209"/>
      <c r="I818" s="209"/>
      <c r="J818" s="209"/>
      <c r="K818" s="209"/>
      <c r="L818" s="209"/>
      <c r="M818" s="207"/>
      <c r="N818" s="209"/>
      <c r="O818" s="209"/>
      <c r="P818" s="209"/>
      <c r="Q818" s="209"/>
      <c r="R818" s="209"/>
      <c r="S818" s="210"/>
    </row>
    <row r="819" spans="1:19" s="14" customFormat="1" ht="57" x14ac:dyDescent="0.7">
      <c r="A819" s="248"/>
      <c r="B819" s="214"/>
      <c r="C819" s="207"/>
      <c r="D819" s="232"/>
      <c r="E819" s="232"/>
      <c r="F819" s="209"/>
      <c r="G819" s="209"/>
      <c r="H819" s="209"/>
      <c r="I819" s="209"/>
      <c r="J819" s="209"/>
      <c r="K819" s="209"/>
      <c r="L819" s="209"/>
      <c r="M819" s="207"/>
      <c r="N819" s="209"/>
      <c r="O819" s="209"/>
      <c r="P819" s="209"/>
      <c r="Q819" s="209"/>
      <c r="R819" s="209"/>
      <c r="S819" s="210"/>
    </row>
    <row r="820" spans="1:19" s="14" customFormat="1" ht="57" x14ac:dyDescent="0.7">
      <c r="A820" s="248"/>
      <c r="B820" s="214"/>
      <c r="C820" s="207"/>
      <c r="D820" s="232"/>
      <c r="E820" s="232"/>
      <c r="F820" s="209"/>
      <c r="G820" s="209"/>
      <c r="H820" s="209"/>
      <c r="I820" s="209"/>
      <c r="J820" s="209"/>
      <c r="K820" s="209"/>
      <c r="L820" s="209"/>
      <c r="M820" s="207"/>
      <c r="N820" s="209"/>
      <c r="O820" s="209"/>
      <c r="P820" s="209"/>
      <c r="Q820" s="209"/>
      <c r="R820" s="209"/>
      <c r="S820" s="210"/>
    </row>
    <row r="821" spans="1:19" s="14" customFormat="1" ht="57" x14ac:dyDescent="0.7">
      <c r="A821" s="248"/>
      <c r="B821" s="214"/>
      <c r="C821" s="207"/>
      <c r="D821" s="232"/>
      <c r="E821" s="232"/>
      <c r="F821" s="209"/>
      <c r="G821" s="209"/>
      <c r="H821" s="209"/>
      <c r="I821" s="209"/>
      <c r="J821" s="209"/>
      <c r="K821" s="209"/>
      <c r="L821" s="209"/>
      <c r="M821" s="207"/>
      <c r="N821" s="209"/>
      <c r="O821" s="209"/>
      <c r="P821" s="209"/>
      <c r="Q821" s="209"/>
      <c r="R821" s="209"/>
      <c r="S821" s="210"/>
    </row>
    <row r="822" spans="1:19" s="14" customFormat="1" ht="57" x14ac:dyDescent="0.7">
      <c r="A822" s="248"/>
      <c r="B822" s="214"/>
      <c r="C822" s="207"/>
      <c r="D822" s="232"/>
      <c r="E822" s="232"/>
      <c r="F822" s="209"/>
      <c r="G822" s="209"/>
      <c r="H822" s="209"/>
      <c r="I822" s="209"/>
      <c r="J822" s="209"/>
      <c r="K822" s="209"/>
      <c r="L822" s="209"/>
      <c r="M822" s="207"/>
      <c r="N822" s="209"/>
      <c r="O822" s="209"/>
      <c r="P822" s="209"/>
      <c r="Q822" s="209"/>
      <c r="R822" s="209"/>
      <c r="S822" s="210"/>
    </row>
    <row r="823" spans="1:19" s="14" customFormat="1" ht="57" x14ac:dyDescent="0.7">
      <c r="A823" s="248"/>
      <c r="B823" s="214"/>
      <c r="C823" s="207"/>
      <c r="D823" s="232"/>
      <c r="E823" s="232"/>
      <c r="F823" s="209"/>
      <c r="G823" s="209"/>
      <c r="H823" s="209"/>
      <c r="I823" s="209"/>
      <c r="J823" s="209"/>
      <c r="K823" s="209"/>
      <c r="L823" s="209"/>
      <c r="M823" s="207"/>
      <c r="N823" s="209"/>
      <c r="O823" s="209"/>
      <c r="P823" s="209"/>
      <c r="Q823" s="209"/>
      <c r="R823" s="209"/>
      <c r="S823" s="210"/>
    </row>
    <row r="824" spans="1:19" s="14" customFormat="1" ht="57" x14ac:dyDescent="0.7">
      <c r="A824" s="248"/>
      <c r="B824" s="214"/>
      <c r="C824" s="207"/>
      <c r="D824" s="232"/>
      <c r="E824" s="232"/>
      <c r="F824" s="209"/>
      <c r="G824" s="209"/>
      <c r="H824" s="209"/>
      <c r="I824" s="209"/>
      <c r="J824" s="209"/>
      <c r="K824" s="209"/>
      <c r="L824" s="209"/>
      <c r="M824" s="207"/>
      <c r="N824" s="209"/>
      <c r="O824" s="209"/>
      <c r="P824" s="209"/>
      <c r="Q824" s="209"/>
      <c r="R824" s="209"/>
      <c r="S824" s="210"/>
    </row>
    <row r="825" spans="1:19" s="14" customFormat="1" ht="57" x14ac:dyDescent="0.7">
      <c r="A825" s="248"/>
      <c r="B825" s="214"/>
      <c r="C825" s="207"/>
      <c r="D825" s="232"/>
      <c r="E825" s="232"/>
      <c r="F825" s="209"/>
      <c r="G825" s="209"/>
      <c r="H825" s="209"/>
      <c r="I825" s="209"/>
      <c r="J825" s="209"/>
      <c r="K825" s="209"/>
      <c r="L825" s="209"/>
      <c r="M825" s="207"/>
      <c r="N825" s="209"/>
      <c r="O825" s="209"/>
      <c r="P825" s="209"/>
      <c r="Q825" s="209"/>
      <c r="R825" s="209"/>
      <c r="S825" s="210"/>
    </row>
    <row r="826" spans="1:19" s="14" customFormat="1" ht="57" x14ac:dyDescent="0.7">
      <c r="A826" s="248"/>
      <c r="B826" s="214"/>
      <c r="C826" s="207"/>
      <c r="D826" s="232"/>
      <c r="E826" s="232"/>
      <c r="F826" s="209"/>
      <c r="G826" s="209"/>
      <c r="H826" s="209"/>
      <c r="I826" s="209"/>
      <c r="J826" s="209"/>
      <c r="K826" s="209"/>
      <c r="L826" s="209"/>
      <c r="M826" s="207"/>
      <c r="N826" s="209"/>
      <c r="O826" s="209"/>
      <c r="P826" s="209"/>
      <c r="Q826" s="209"/>
      <c r="R826" s="209"/>
      <c r="S826" s="210"/>
    </row>
    <row r="827" spans="1:19" s="14" customFormat="1" ht="57" x14ac:dyDescent="0.7">
      <c r="A827" s="248"/>
      <c r="B827" s="214"/>
      <c r="C827" s="207"/>
      <c r="D827" s="232"/>
      <c r="E827" s="232"/>
      <c r="F827" s="209"/>
      <c r="G827" s="209"/>
      <c r="H827" s="209"/>
      <c r="I827" s="209"/>
      <c r="J827" s="209"/>
      <c r="K827" s="209"/>
      <c r="L827" s="209"/>
      <c r="M827" s="207"/>
      <c r="N827" s="209"/>
      <c r="O827" s="209"/>
      <c r="P827" s="209"/>
      <c r="Q827" s="209"/>
      <c r="R827" s="209"/>
      <c r="S827" s="210"/>
    </row>
    <row r="828" spans="1:19" s="14" customFormat="1" ht="57" x14ac:dyDescent="0.7">
      <c r="A828" s="248"/>
      <c r="B828" s="214"/>
      <c r="C828" s="207"/>
      <c r="D828" s="232"/>
      <c r="E828" s="232"/>
      <c r="F828" s="209"/>
      <c r="G828" s="209"/>
      <c r="H828" s="209"/>
      <c r="I828" s="209"/>
      <c r="J828" s="209"/>
      <c r="K828" s="209"/>
      <c r="L828" s="209"/>
      <c r="M828" s="207"/>
      <c r="N828" s="209"/>
      <c r="O828" s="209"/>
      <c r="P828" s="209"/>
      <c r="Q828" s="209"/>
      <c r="R828" s="209"/>
      <c r="S828" s="210"/>
    </row>
    <row r="829" spans="1:19" s="14" customFormat="1" ht="57" x14ac:dyDescent="0.7">
      <c r="A829" s="248"/>
      <c r="B829" s="214"/>
      <c r="C829" s="207"/>
      <c r="D829" s="232"/>
      <c r="E829" s="232"/>
      <c r="F829" s="209"/>
      <c r="G829" s="209"/>
      <c r="H829" s="209"/>
      <c r="I829" s="209"/>
      <c r="J829" s="209"/>
      <c r="K829" s="209"/>
      <c r="L829" s="209"/>
      <c r="M829" s="207"/>
      <c r="N829" s="209"/>
      <c r="O829" s="209"/>
      <c r="P829" s="209"/>
      <c r="Q829" s="209"/>
      <c r="R829" s="209"/>
      <c r="S829" s="210"/>
    </row>
    <row r="830" spans="1:19" s="14" customFormat="1" ht="57" x14ac:dyDescent="0.7">
      <c r="A830" s="248"/>
      <c r="B830" s="214"/>
      <c r="C830" s="207"/>
      <c r="D830" s="232"/>
      <c r="E830" s="232"/>
      <c r="F830" s="209"/>
      <c r="G830" s="209"/>
      <c r="H830" s="209"/>
      <c r="I830" s="209"/>
      <c r="J830" s="209"/>
      <c r="K830" s="209"/>
      <c r="L830" s="209"/>
      <c r="M830" s="207"/>
      <c r="N830" s="209"/>
      <c r="O830" s="209"/>
      <c r="P830" s="209"/>
      <c r="Q830" s="209"/>
      <c r="R830" s="209"/>
      <c r="S830" s="210"/>
    </row>
    <row r="831" spans="1:19" s="14" customFormat="1" ht="57" x14ac:dyDescent="0.7">
      <c r="A831" s="248"/>
      <c r="B831" s="214"/>
      <c r="C831" s="207"/>
      <c r="D831" s="232"/>
      <c r="E831" s="232"/>
      <c r="F831" s="209"/>
      <c r="G831" s="209"/>
      <c r="H831" s="209"/>
      <c r="I831" s="209"/>
      <c r="J831" s="209"/>
      <c r="K831" s="209"/>
      <c r="L831" s="209"/>
      <c r="M831" s="207"/>
      <c r="N831" s="209"/>
      <c r="O831" s="209"/>
      <c r="P831" s="209"/>
      <c r="Q831" s="209"/>
      <c r="R831" s="209"/>
      <c r="S831" s="210"/>
    </row>
    <row r="832" spans="1:19" s="14" customFormat="1" ht="57" x14ac:dyDescent="0.7">
      <c r="A832" s="248"/>
      <c r="B832" s="214"/>
      <c r="C832" s="207"/>
      <c r="D832" s="232"/>
      <c r="E832" s="232"/>
      <c r="F832" s="209"/>
      <c r="G832" s="209"/>
      <c r="H832" s="209"/>
      <c r="I832" s="209"/>
      <c r="J832" s="209"/>
      <c r="K832" s="209"/>
      <c r="L832" s="209"/>
      <c r="M832" s="207"/>
      <c r="N832" s="209"/>
      <c r="O832" s="209"/>
      <c r="P832" s="209"/>
      <c r="Q832" s="209"/>
      <c r="R832" s="209"/>
      <c r="S832" s="210"/>
    </row>
    <row r="833" spans="1:19" s="14" customFormat="1" ht="57" x14ac:dyDescent="0.7">
      <c r="A833" s="248"/>
      <c r="B833" s="214"/>
      <c r="C833" s="207"/>
      <c r="D833" s="232"/>
      <c r="E833" s="232"/>
      <c r="F833" s="209"/>
      <c r="G833" s="209"/>
      <c r="H833" s="209"/>
      <c r="I833" s="209"/>
      <c r="J833" s="209"/>
      <c r="K833" s="209"/>
      <c r="L833" s="209"/>
      <c r="M833" s="207"/>
      <c r="N833" s="209"/>
      <c r="O833" s="209"/>
      <c r="P833" s="209"/>
      <c r="Q833" s="209"/>
      <c r="R833" s="209"/>
      <c r="S833" s="210"/>
    </row>
    <row r="834" spans="1:19" s="14" customFormat="1" ht="57" x14ac:dyDescent="0.7">
      <c r="A834" s="248"/>
      <c r="B834" s="214"/>
      <c r="C834" s="207"/>
      <c r="D834" s="232"/>
      <c r="E834" s="232"/>
      <c r="F834" s="209"/>
      <c r="G834" s="209"/>
      <c r="H834" s="209"/>
      <c r="I834" s="209"/>
      <c r="J834" s="209"/>
      <c r="K834" s="209"/>
      <c r="L834" s="209"/>
      <c r="M834" s="207"/>
      <c r="N834" s="209"/>
      <c r="O834" s="209"/>
      <c r="P834" s="209"/>
      <c r="Q834" s="209"/>
      <c r="R834" s="209"/>
      <c r="S834" s="210"/>
    </row>
    <row r="835" spans="1:19" s="14" customFormat="1" ht="57" x14ac:dyDescent="0.7">
      <c r="A835" s="248"/>
      <c r="B835" s="214"/>
      <c r="C835" s="207"/>
      <c r="D835" s="232"/>
      <c r="E835" s="232"/>
      <c r="F835" s="209"/>
      <c r="G835" s="209"/>
      <c r="H835" s="209"/>
      <c r="I835" s="209"/>
      <c r="J835" s="209"/>
      <c r="K835" s="209"/>
      <c r="L835" s="209"/>
      <c r="M835" s="207"/>
      <c r="N835" s="209"/>
      <c r="O835" s="209"/>
      <c r="P835" s="209"/>
      <c r="Q835" s="209"/>
      <c r="R835" s="209"/>
      <c r="S835" s="210"/>
    </row>
    <row r="836" spans="1:19" s="14" customFormat="1" ht="57" x14ac:dyDescent="0.7">
      <c r="A836" s="248"/>
      <c r="B836" s="214"/>
      <c r="C836" s="207"/>
      <c r="D836" s="232"/>
      <c r="E836" s="232"/>
      <c r="F836" s="209"/>
      <c r="G836" s="209"/>
      <c r="H836" s="209"/>
      <c r="I836" s="209"/>
      <c r="J836" s="209"/>
      <c r="K836" s="209"/>
      <c r="L836" s="209"/>
      <c r="M836" s="207"/>
      <c r="N836" s="209"/>
      <c r="O836" s="209"/>
      <c r="P836" s="209"/>
      <c r="Q836" s="209"/>
      <c r="R836" s="209"/>
      <c r="S836" s="210"/>
    </row>
    <row r="837" spans="1:19" s="14" customFormat="1" ht="57" x14ac:dyDescent="0.7">
      <c r="A837" s="248"/>
      <c r="B837" s="214"/>
      <c r="C837" s="207"/>
      <c r="D837" s="232"/>
      <c r="E837" s="232"/>
      <c r="F837" s="209"/>
      <c r="G837" s="209"/>
      <c r="H837" s="209"/>
      <c r="I837" s="209"/>
      <c r="J837" s="209"/>
      <c r="K837" s="209"/>
      <c r="L837" s="209"/>
      <c r="M837" s="207"/>
      <c r="N837" s="209"/>
      <c r="O837" s="209"/>
      <c r="P837" s="209"/>
      <c r="Q837" s="209"/>
      <c r="R837" s="209"/>
      <c r="S837" s="210"/>
    </row>
    <row r="838" spans="1:19" s="14" customFormat="1" ht="57" x14ac:dyDescent="0.7">
      <c r="A838" s="248"/>
      <c r="B838" s="214"/>
      <c r="C838" s="207"/>
      <c r="D838" s="232"/>
      <c r="E838" s="232"/>
      <c r="F838" s="209"/>
      <c r="G838" s="209"/>
      <c r="H838" s="209"/>
      <c r="I838" s="209"/>
      <c r="J838" s="209"/>
      <c r="K838" s="209"/>
      <c r="L838" s="209"/>
      <c r="M838" s="207"/>
      <c r="N838" s="209"/>
      <c r="O838" s="209"/>
      <c r="P838" s="209"/>
      <c r="Q838" s="209"/>
      <c r="R838" s="209"/>
      <c r="S838" s="210"/>
    </row>
    <row r="839" spans="1:19" s="14" customFormat="1" ht="57" x14ac:dyDescent="0.7">
      <c r="A839" s="248"/>
      <c r="B839" s="214"/>
      <c r="C839" s="207"/>
      <c r="D839" s="232"/>
      <c r="E839" s="232"/>
      <c r="F839" s="209"/>
      <c r="G839" s="209"/>
      <c r="H839" s="209"/>
      <c r="I839" s="209"/>
      <c r="J839" s="209"/>
      <c r="K839" s="209"/>
      <c r="L839" s="209"/>
      <c r="M839" s="207"/>
      <c r="N839" s="209"/>
      <c r="O839" s="209"/>
      <c r="P839" s="209"/>
      <c r="Q839" s="209"/>
      <c r="R839" s="209"/>
      <c r="S839" s="210"/>
    </row>
    <row r="840" spans="1:19" s="14" customFormat="1" ht="57" x14ac:dyDescent="0.7">
      <c r="A840" s="248"/>
      <c r="B840" s="214"/>
      <c r="C840" s="207"/>
      <c r="D840" s="232"/>
      <c r="E840" s="232"/>
      <c r="F840" s="209"/>
      <c r="G840" s="209"/>
      <c r="H840" s="209"/>
      <c r="I840" s="209"/>
      <c r="J840" s="209"/>
      <c r="K840" s="209"/>
      <c r="L840" s="209"/>
      <c r="M840" s="207"/>
      <c r="N840" s="209"/>
      <c r="O840" s="209"/>
      <c r="P840" s="209"/>
      <c r="Q840" s="209"/>
      <c r="R840" s="209"/>
      <c r="S840" s="210"/>
    </row>
    <row r="841" spans="1:19" s="14" customFormat="1" ht="57" x14ac:dyDescent="0.7">
      <c r="A841" s="248"/>
      <c r="B841" s="214"/>
      <c r="C841" s="207"/>
      <c r="D841" s="232"/>
      <c r="E841" s="232"/>
      <c r="F841" s="209"/>
      <c r="G841" s="209"/>
      <c r="H841" s="209"/>
      <c r="I841" s="209"/>
      <c r="J841" s="209"/>
      <c r="K841" s="209"/>
      <c r="L841" s="209"/>
      <c r="M841" s="207"/>
      <c r="N841" s="209"/>
      <c r="O841" s="209"/>
      <c r="P841" s="209"/>
      <c r="Q841" s="209"/>
      <c r="R841" s="209"/>
      <c r="S841" s="210"/>
    </row>
    <row r="842" spans="1:19" s="14" customFormat="1" ht="57" x14ac:dyDescent="0.7">
      <c r="A842" s="248"/>
      <c r="B842" s="214"/>
      <c r="C842" s="207"/>
      <c r="D842" s="232"/>
      <c r="E842" s="232"/>
      <c r="F842" s="209"/>
      <c r="G842" s="209"/>
      <c r="H842" s="209"/>
      <c r="I842" s="209"/>
      <c r="J842" s="209"/>
      <c r="K842" s="209"/>
      <c r="L842" s="209"/>
      <c r="M842" s="207"/>
      <c r="N842" s="209"/>
      <c r="O842" s="209"/>
      <c r="P842" s="209"/>
      <c r="Q842" s="209"/>
      <c r="R842" s="209"/>
      <c r="S842" s="210"/>
    </row>
    <row r="843" spans="1:19" s="14" customFormat="1" ht="57" x14ac:dyDescent="0.7">
      <c r="A843" s="248"/>
      <c r="B843" s="214"/>
      <c r="C843" s="207"/>
      <c r="D843" s="232"/>
      <c r="E843" s="232"/>
      <c r="F843" s="209"/>
      <c r="G843" s="209"/>
      <c r="H843" s="209"/>
      <c r="I843" s="209"/>
      <c r="J843" s="209"/>
      <c r="K843" s="209"/>
      <c r="L843" s="209"/>
      <c r="M843" s="207"/>
      <c r="N843" s="209"/>
      <c r="O843" s="209"/>
      <c r="P843" s="209"/>
      <c r="Q843" s="209"/>
      <c r="R843" s="209"/>
      <c r="S843" s="210"/>
    </row>
    <row r="844" spans="1:19" s="14" customFormat="1" ht="57" x14ac:dyDescent="0.7">
      <c r="A844" s="248"/>
      <c r="B844" s="214"/>
      <c r="C844" s="207"/>
      <c r="D844" s="232"/>
      <c r="E844" s="232"/>
      <c r="F844" s="209"/>
      <c r="G844" s="209"/>
      <c r="H844" s="209"/>
      <c r="I844" s="209"/>
      <c r="J844" s="209"/>
      <c r="K844" s="209"/>
      <c r="L844" s="209"/>
      <c r="M844" s="207"/>
      <c r="N844" s="209"/>
      <c r="O844" s="209"/>
      <c r="P844" s="209"/>
      <c r="Q844" s="209"/>
      <c r="R844" s="209"/>
      <c r="S844" s="210"/>
    </row>
    <row r="845" spans="1:19" s="14" customFormat="1" ht="57" x14ac:dyDescent="0.7">
      <c r="A845" s="248"/>
      <c r="B845" s="214"/>
      <c r="C845" s="207"/>
      <c r="D845" s="232"/>
      <c r="E845" s="232"/>
      <c r="F845" s="209"/>
      <c r="G845" s="209"/>
      <c r="H845" s="209"/>
      <c r="I845" s="209"/>
      <c r="J845" s="209"/>
      <c r="K845" s="209"/>
      <c r="L845" s="209"/>
      <c r="M845" s="207"/>
      <c r="N845" s="209"/>
      <c r="O845" s="209"/>
      <c r="P845" s="209"/>
      <c r="Q845" s="209"/>
      <c r="R845" s="209"/>
      <c r="S845" s="210"/>
    </row>
    <row r="846" spans="1:19" s="14" customFormat="1" ht="57" x14ac:dyDescent="0.7">
      <c r="A846" s="248"/>
      <c r="B846" s="214"/>
      <c r="C846" s="207"/>
      <c r="D846" s="232"/>
      <c r="E846" s="232"/>
      <c r="F846" s="209"/>
      <c r="G846" s="209"/>
      <c r="H846" s="209"/>
      <c r="I846" s="209"/>
      <c r="J846" s="209"/>
      <c r="K846" s="209"/>
      <c r="L846" s="209"/>
      <c r="M846" s="207"/>
      <c r="N846" s="209"/>
      <c r="O846" s="209"/>
      <c r="P846" s="209"/>
      <c r="Q846" s="209"/>
      <c r="R846" s="209"/>
      <c r="S846" s="210"/>
    </row>
    <row r="847" spans="1:19" s="14" customFormat="1" ht="57" x14ac:dyDescent="0.7">
      <c r="A847" s="248"/>
      <c r="B847" s="214"/>
      <c r="C847" s="207"/>
      <c r="D847" s="232"/>
      <c r="E847" s="232"/>
      <c r="F847" s="209"/>
      <c r="G847" s="209"/>
      <c r="H847" s="209"/>
      <c r="I847" s="209"/>
      <c r="J847" s="209"/>
      <c r="K847" s="209"/>
      <c r="L847" s="209"/>
      <c r="M847" s="207"/>
      <c r="N847" s="209"/>
      <c r="O847" s="209"/>
      <c r="P847" s="209"/>
      <c r="Q847" s="209"/>
      <c r="R847" s="209"/>
      <c r="S847" s="210"/>
    </row>
    <row r="848" spans="1:19" s="14" customFormat="1" ht="57" x14ac:dyDescent="0.7">
      <c r="A848" s="248"/>
      <c r="B848" s="214"/>
      <c r="C848" s="207"/>
      <c r="D848" s="232"/>
      <c r="E848" s="232"/>
      <c r="F848" s="209"/>
      <c r="G848" s="209"/>
      <c r="H848" s="209"/>
      <c r="I848" s="209"/>
      <c r="J848" s="209"/>
      <c r="K848" s="209"/>
      <c r="L848" s="209"/>
      <c r="M848" s="207"/>
      <c r="N848" s="209"/>
      <c r="O848" s="209"/>
      <c r="P848" s="209"/>
      <c r="Q848" s="209"/>
      <c r="R848" s="209"/>
      <c r="S848" s="210"/>
    </row>
    <row r="849" spans="1:19" s="14" customFormat="1" ht="57" x14ac:dyDescent="0.7">
      <c r="A849" s="248"/>
      <c r="B849" s="214"/>
      <c r="C849" s="207"/>
      <c r="D849" s="232"/>
      <c r="E849" s="232"/>
      <c r="F849" s="209"/>
      <c r="G849" s="209"/>
      <c r="H849" s="209"/>
      <c r="I849" s="209"/>
      <c r="J849" s="209"/>
      <c r="K849" s="209"/>
      <c r="L849" s="209"/>
      <c r="M849" s="207"/>
      <c r="N849" s="209"/>
      <c r="O849" s="209"/>
      <c r="P849" s="209"/>
      <c r="Q849" s="209"/>
      <c r="R849" s="209"/>
      <c r="S849" s="210"/>
    </row>
    <row r="850" spans="1:19" s="14" customFormat="1" ht="57" x14ac:dyDescent="0.7">
      <c r="A850" s="248"/>
      <c r="B850" s="214"/>
      <c r="C850" s="207"/>
      <c r="D850" s="232"/>
      <c r="E850" s="232"/>
      <c r="F850" s="209"/>
      <c r="G850" s="209"/>
      <c r="H850" s="209"/>
      <c r="I850" s="209"/>
      <c r="J850" s="209"/>
      <c r="K850" s="209"/>
      <c r="L850" s="209"/>
      <c r="M850" s="207"/>
      <c r="N850" s="209"/>
      <c r="O850" s="209"/>
      <c r="P850" s="209"/>
      <c r="Q850" s="209"/>
      <c r="R850" s="209"/>
      <c r="S850" s="210"/>
    </row>
    <row r="851" spans="1:19" s="14" customFormat="1" ht="57" x14ac:dyDescent="0.7">
      <c r="A851" s="248"/>
      <c r="B851" s="214"/>
      <c r="C851" s="207"/>
      <c r="D851" s="232"/>
      <c r="E851" s="232"/>
      <c r="F851" s="209"/>
      <c r="G851" s="209"/>
      <c r="H851" s="209"/>
      <c r="I851" s="209"/>
      <c r="J851" s="209"/>
      <c r="K851" s="209"/>
      <c r="L851" s="209"/>
      <c r="M851" s="207"/>
      <c r="N851" s="209"/>
      <c r="O851" s="209"/>
      <c r="P851" s="209"/>
      <c r="Q851" s="209"/>
      <c r="R851" s="209"/>
      <c r="S851" s="210"/>
    </row>
    <row r="852" spans="1:19" s="14" customFormat="1" ht="57" x14ac:dyDescent="0.7">
      <c r="A852" s="248"/>
      <c r="B852" s="214"/>
      <c r="C852" s="207"/>
      <c r="D852" s="232"/>
      <c r="E852" s="232"/>
      <c r="F852" s="209"/>
      <c r="G852" s="209"/>
      <c r="H852" s="209"/>
      <c r="I852" s="209"/>
      <c r="J852" s="209"/>
      <c r="K852" s="209"/>
      <c r="L852" s="209"/>
      <c r="M852" s="207"/>
      <c r="N852" s="209"/>
      <c r="O852" s="209"/>
      <c r="P852" s="209"/>
      <c r="Q852" s="209"/>
      <c r="R852" s="209"/>
      <c r="S852" s="210"/>
    </row>
    <row r="853" spans="1:19" s="14" customFormat="1" ht="57" x14ac:dyDescent="0.7">
      <c r="A853" s="248"/>
      <c r="B853" s="214"/>
      <c r="C853" s="207"/>
      <c r="D853" s="232"/>
      <c r="E853" s="232"/>
      <c r="F853" s="209"/>
      <c r="G853" s="209"/>
      <c r="H853" s="209"/>
      <c r="I853" s="209"/>
      <c r="J853" s="209"/>
      <c r="K853" s="209"/>
      <c r="L853" s="209"/>
      <c r="M853" s="207"/>
      <c r="N853" s="209"/>
      <c r="O853" s="209"/>
      <c r="P853" s="209"/>
      <c r="Q853" s="209"/>
      <c r="R853" s="209"/>
      <c r="S853" s="210"/>
    </row>
    <row r="854" spans="1:19" s="14" customFormat="1" ht="57" x14ac:dyDescent="0.7">
      <c r="A854" s="248"/>
      <c r="B854" s="214"/>
      <c r="C854" s="207"/>
      <c r="D854" s="232"/>
      <c r="E854" s="232"/>
      <c r="F854" s="209"/>
      <c r="G854" s="209"/>
      <c r="H854" s="209"/>
      <c r="I854" s="209"/>
      <c r="J854" s="209"/>
      <c r="K854" s="209"/>
      <c r="L854" s="209"/>
      <c r="M854" s="207"/>
      <c r="N854" s="209"/>
      <c r="O854" s="209"/>
      <c r="P854" s="209"/>
      <c r="Q854" s="209"/>
      <c r="R854" s="209"/>
      <c r="S854" s="210"/>
    </row>
    <row r="855" spans="1:19" s="14" customFormat="1" ht="57" x14ac:dyDescent="0.7">
      <c r="A855" s="248"/>
      <c r="B855" s="214"/>
      <c r="C855" s="207"/>
      <c r="D855" s="232"/>
      <c r="E855" s="232"/>
      <c r="F855" s="209"/>
      <c r="G855" s="209"/>
      <c r="H855" s="209"/>
      <c r="I855" s="209"/>
      <c r="J855" s="209"/>
      <c r="K855" s="209"/>
      <c r="L855" s="209"/>
      <c r="M855" s="207"/>
      <c r="N855" s="209"/>
      <c r="O855" s="209"/>
      <c r="P855" s="209"/>
      <c r="Q855" s="209"/>
      <c r="R855" s="209"/>
      <c r="S855" s="210"/>
    </row>
    <row r="856" spans="1:19" s="14" customFormat="1" ht="57" x14ac:dyDescent="0.7">
      <c r="A856" s="248"/>
      <c r="B856" s="214"/>
      <c r="C856" s="207"/>
      <c r="D856" s="232"/>
      <c r="E856" s="232"/>
      <c r="F856" s="209"/>
      <c r="G856" s="209"/>
      <c r="H856" s="209"/>
      <c r="I856" s="209"/>
      <c r="J856" s="209"/>
      <c r="K856" s="209"/>
      <c r="L856" s="209"/>
      <c r="M856" s="207"/>
      <c r="N856" s="209"/>
      <c r="O856" s="209"/>
      <c r="P856" s="209"/>
      <c r="Q856" s="209"/>
      <c r="R856" s="209"/>
      <c r="S856" s="210"/>
    </row>
    <row r="857" spans="1:19" s="14" customFormat="1" ht="57" x14ac:dyDescent="0.7">
      <c r="A857" s="248"/>
      <c r="B857" s="214"/>
      <c r="C857" s="207"/>
      <c r="D857" s="232"/>
      <c r="E857" s="232"/>
      <c r="F857" s="209"/>
      <c r="G857" s="209"/>
      <c r="H857" s="209"/>
      <c r="I857" s="209"/>
      <c r="J857" s="209"/>
      <c r="K857" s="209"/>
      <c r="L857" s="209"/>
      <c r="M857" s="207"/>
      <c r="N857" s="209"/>
      <c r="O857" s="209"/>
      <c r="P857" s="209"/>
      <c r="Q857" s="209"/>
      <c r="R857" s="209"/>
      <c r="S857" s="210"/>
    </row>
    <row r="858" spans="1:19" s="14" customFormat="1" ht="57" x14ac:dyDescent="0.7">
      <c r="A858" s="248"/>
      <c r="B858" s="214"/>
      <c r="C858" s="207"/>
      <c r="D858" s="232"/>
      <c r="E858" s="232"/>
      <c r="F858" s="209"/>
      <c r="G858" s="209"/>
      <c r="H858" s="209"/>
      <c r="I858" s="209"/>
      <c r="J858" s="209"/>
      <c r="K858" s="209"/>
      <c r="L858" s="209"/>
      <c r="M858" s="207"/>
      <c r="N858" s="209"/>
      <c r="O858" s="209"/>
      <c r="P858" s="209"/>
      <c r="Q858" s="209"/>
      <c r="R858" s="209"/>
      <c r="S858" s="210"/>
    </row>
    <row r="859" spans="1:19" s="14" customFormat="1" ht="57" x14ac:dyDescent="0.7">
      <c r="A859" s="248"/>
      <c r="B859" s="214"/>
      <c r="C859" s="207"/>
      <c r="D859" s="232"/>
      <c r="E859" s="232"/>
      <c r="F859" s="209"/>
      <c r="G859" s="209"/>
      <c r="H859" s="209"/>
      <c r="I859" s="209"/>
      <c r="J859" s="209"/>
      <c r="K859" s="209"/>
      <c r="L859" s="209"/>
      <c r="M859" s="207"/>
      <c r="N859" s="209"/>
      <c r="O859" s="209"/>
      <c r="P859" s="209"/>
      <c r="Q859" s="209"/>
      <c r="R859" s="209"/>
      <c r="S859" s="210"/>
    </row>
    <row r="860" spans="1:19" s="14" customFormat="1" ht="57" x14ac:dyDescent="0.7">
      <c r="A860" s="248"/>
      <c r="B860" s="214"/>
      <c r="C860" s="207"/>
      <c r="D860" s="232"/>
      <c r="E860" s="232"/>
      <c r="F860" s="209"/>
      <c r="G860" s="209"/>
      <c r="H860" s="209"/>
      <c r="I860" s="209"/>
      <c r="J860" s="209"/>
      <c r="K860" s="209"/>
      <c r="L860" s="209"/>
      <c r="M860" s="207"/>
      <c r="N860" s="209"/>
      <c r="O860" s="209"/>
      <c r="P860" s="209"/>
      <c r="Q860" s="209"/>
      <c r="R860" s="209"/>
      <c r="S860" s="210"/>
    </row>
    <row r="861" spans="1:19" s="14" customFormat="1" ht="57" x14ac:dyDescent="0.7">
      <c r="A861" s="248"/>
      <c r="B861" s="214"/>
      <c r="C861" s="207"/>
      <c r="D861" s="232"/>
      <c r="E861" s="232"/>
      <c r="F861" s="209"/>
      <c r="G861" s="209"/>
      <c r="H861" s="209"/>
      <c r="I861" s="209"/>
      <c r="J861" s="209"/>
      <c r="K861" s="209"/>
      <c r="L861" s="209"/>
      <c r="M861" s="207"/>
      <c r="N861" s="209"/>
      <c r="O861" s="209"/>
      <c r="P861" s="209"/>
      <c r="Q861" s="209"/>
      <c r="R861" s="209"/>
      <c r="S861" s="210"/>
    </row>
    <row r="862" spans="1:19" s="14" customFormat="1" ht="57" x14ac:dyDescent="0.7">
      <c r="A862" s="248"/>
      <c r="B862" s="214"/>
      <c r="C862" s="207"/>
      <c r="D862" s="232"/>
      <c r="E862" s="232"/>
      <c r="F862" s="209"/>
      <c r="G862" s="209"/>
      <c r="H862" s="209"/>
      <c r="I862" s="209"/>
      <c r="J862" s="209"/>
      <c r="K862" s="209"/>
      <c r="L862" s="209"/>
      <c r="M862" s="207"/>
      <c r="N862" s="209"/>
      <c r="O862" s="209"/>
      <c r="P862" s="209"/>
      <c r="Q862" s="209"/>
      <c r="R862" s="209"/>
      <c r="S862" s="210"/>
    </row>
    <row r="863" spans="1:19" s="14" customFormat="1" ht="57" x14ac:dyDescent="0.7">
      <c r="A863" s="248"/>
      <c r="B863" s="214"/>
      <c r="C863" s="207"/>
      <c r="D863" s="232"/>
      <c r="E863" s="232"/>
      <c r="F863" s="209"/>
      <c r="G863" s="209"/>
      <c r="H863" s="209"/>
      <c r="I863" s="209"/>
      <c r="J863" s="209"/>
      <c r="K863" s="209"/>
      <c r="L863" s="209"/>
      <c r="M863" s="207"/>
      <c r="N863" s="209"/>
      <c r="O863" s="209"/>
      <c r="P863" s="209"/>
      <c r="Q863" s="209"/>
      <c r="R863" s="209"/>
      <c r="S863" s="210"/>
    </row>
    <row r="864" spans="1:19" s="14" customFormat="1" ht="57" x14ac:dyDescent="0.7">
      <c r="A864" s="248"/>
      <c r="B864" s="214"/>
      <c r="C864" s="207"/>
      <c r="D864" s="232"/>
      <c r="E864" s="232"/>
      <c r="F864" s="209"/>
      <c r="G864" s="209"/>
      <c r="H864" s="209"/>
      <c r="I864" s="209"/>
      <c r="J864" s="209"/>
      <c r="K864" s="209"/>
      <c r="L864" s="209"/>
      <c r="M864" s="207"/>
      <c r="N864" s="209"/>
      <c r="O864" s="209"/>
      <c r="P864" s="209"/>
      <c r="Q864" s="209"/>
      <c r="R864" s="209"/>
      <c r="S864" s="210"/>
    </row>
    <row r="865" spans="1:19" s="14" customFormat="1" ht="57" x14ac:dyDescent="0.7">
      <c r="A865" s="248"/>
      <c r="B865" s="214"/>
      <c r="C865" s="207"/>
      <c r="D865" s="232"/>
      <c r="E865" s="232"/>
      <c r="F865" s="209"/>
      <c r="G865" s="209"/>
      <c r="H865" s="209"/>
      <c r="I865" s="209"/>
      <c r="J865" s="209"/>
      <c r="K865" s="209"/>
      <c r="L865" s="209"/>
      <c r="M865" s="207"/>
      <c r="N865" s="209"/>
      <c r="O865" s="209"/>
      <c r="P865" s="209"/>
      <c r="Q865" s="209"/>
      <c r="R865" s="209"/>
      <c r="S865" s="210"/>
    </row>
    <row r="866" spans="1:19" s="14" customFormat="1" ht="57" x14ac:dyDescent="0.7">
      <c r="A866" s="248"/>
      <c r="B866" s="214"/>
      <c r="C866" s="207"/>
      <c r="D866" s="232"/>
      <c r="E866" s="232"/>
      <c r="F866" s="209"/>
      <c r="G866" s="209"/>
      <c r="H866" s="209"/>
      <c r="I866" s="209"/>
      <c r="J866" s="209"/>
      <c r="K866" s="209"/>
      <c r="L866" s="209"/>
      <c r="M866" s="207"/>
      <c r="N866" s="209"/>
      <c r="O866" s="209"/>
      <c r="P866" s="209"/>
      <c r="Q866" s="209"/>
      <c r="R866" s="209"/>
      <c r="S866" s="210"/>
    </row>
    <row r="867" spans="1:19" s="14" customFormat="1" ht="57" x14ac:dyDescent="0.7">
      <c r="A867" s="248"/>
      <c r="B867" s="214"/>
      <c r="C867" s="207"/>
      <c r="D867" s="232"/>
      <c r="E867" s="232"/>
      <c r="F867" s="209"/>
      <c r="G867" s="209"/>
      <c r="H867" s="209"/>
      <c r="I867" s="209"/>
      <c r="J867" s="209"/>
      <c r="K867" s="209"/>
      <c r="L867" s="209"/>
      <c r="M867" s="207"/>
      <c r="N867" s="209"/>
      <c r="O867" s="209"/>
      <c r="P867" s="209"/>
      <c r="Q867" s="209"/>
      <c r="R867" s="209"/>
      <c r="S867" s="210"/>
    </row>
    <row r="868" spans="1:19" s="14" customFormat="1" ht="57" x14ac:dyDescent="0.7">
      <c r="A868" s="248"/>
      <c r="B868" s="214"/>
      <c r="C868" s="207"/>
      <c r="D868" s="232"/>
      <c r="E868" s="232"/>
      <c r="F868" s="209"/>
      <c r="G868" s="209"/>
      <c r="H868" s="209"/>
      <c r="I868" s="209"/>
      <c r="J868" s="209"/>
      <c r="K868" s="209"/>
      <c r="L868" s="209"/>
      <c r="M868" s="207"/>
      <c r="N868" s="209"/>
      <c r="O868" s="209"/>
      <c r="P868" s="209"/>
      <c r="Q868" s="209"/>
      <c r="R868" s="209"/>
      <c r="S868" s="210"/>
    </row>
    <row r="869" spans="1:19" s="14" customFormat="1" ht="57" x14ac:dyDescent="0.7">
      <c r="A869" s="248"/>
      <c r="B869" s="214"/>
      <c r="C869" s="207"/>
      <c r="D869" s="232"/>
      <c r="E869" s="232"/>
      <c r="F869" s="209"/>
      <c r="G869" s="209"/>
      <c r="H869" s="209"/>
      <c r="I869" s="209"/>
      <c r="J869" s="209"/>
      <c r="K869" s="209"/>
      <c r="L869" s="209"/>
      <c r="M869" s="207"/>
      <c r="N869" s="209"/>
      <c r="O869" s="209"/>
      <c r="P869" s="209"/>
      <c r="Q869" s="209"/>
      <c r="R869" s="209"/>
      <c r="S869" s="210"/>
    </row>
    <row r="870" spans="1:19" s="14" customFormat="1" ht="57" x14ac:dyDescent="0.7">
      <c r="A870" s="248"/>
      <c r="B870" s="214"/>
      <c r="C870" s="207"/>
      <c r="D870" s="232"/>
      <c r="E870" s="232"/>
      <c r="F870" s="209"/>
      <c r="G870" s="209"/>
      <c r="H870" s="209"/>
      <c r="I870" s="209"/>
      <c r="J870" s="209"/>
      <c r="K870" s="209"/>
      <c r="L870" s="209"/>
      <c r="M870" s="207"/>
      <c r="N870" s="209"/>
      <c r="O870" s="209"/>
      <c r="P870" s="209"/>
      <c r="Q870" s="209"/>
      <c r="R870" s="209"/>
      <c r="S870" s="210"/>
    </row>
    <row r="871" spans="1:19" s="14" customFormat="1" ht="57" x14ac:dyDescent="0.7">
      <c r="A871" s="248"/>
      <c r="B871" s="214"/>
      <c r="C871" s="207"/>
      <c r="D871" s="232"/>
      <c r="E871" s="232"/>
      <c r="F871" s="209"/>
      <c r="G871" s="209"/>
      <c r="H871" s="209"/>
      <c r="I871" s="209"/>
      <c r="J871" s="209"/>
      <c r="K871" s="209"/>
      <c r="L871" s="209"/>
      <c r="M871" s="207"/>
      <c r="N871" s="209"/>
      <c r="O871" s="209"/>
      <c r="P871" s="209"/>
      <c r="Q871" s="209"/>
      <c r="R871" s="209"/>
      <c r="S871" s="210"/>
    </row>
    <row r="872" spans="1:19" s="14" customFormat="1" ht="57" x14ac:dyDescent="0.7">
      <c r="A872" s="248"/>
      <c r="B872" s="214"/>
      <c r="C872" s="207"/>
      <c r="D872" s="232"/>
      <c r="E872" s="232"/>
      <c r="F872" s="209"/>
      <c r="G872" s="209"/>
      <c r="H872" s="209"/>
      <c r="I872" s="209"/>
      <c r="J872" s="209"/>
      <c r="K872" s="209"/>
      <c r="L872" s="209"/>
      <c r="M872" s="207"/>
      <c r="N872" s="209"/>
      <c r="O872" s="209"/>
      <c r="P872" s="209"/>
      <c r="Q872" s="209"/>
      <c r="R872" s="209"/>
      <c r="S872" s="210"/>
    </row>
    <row r="873" spans="1:19" s="14" customFormat="1" ht="57" x14ac:dyDescent="0.7">
      <c r="A873" s="248"/>
      <c r="B873" s="214"/>
      <c r="C873" s="207"/>
      <c r="D873" s="232"/>
      <c r="E873" s="232"/>
      <c r="F873" s="209"/>
      <c r="G873" s="209"/>
      <c r="H873" s="209"/>
      <c r="I873" s="209"/>
      <c r="J873" s="209"/>
      <c r="K873" s="209"/>
      <c r="L873" s="209"/>
      <c r="M873" s="207"/>
      <c r="N873" s="209"/>
      <c r="O873" s="209"/>
      <c r="P873" s="209"/>
      <c r="Q873" s="209"/>
      <c r="R873" s="209"/>
      <c r="S873" s="210"/>
    </row>
    <row r="874" spans="1:19" s="14" customFormat="1" ht="57" x14ac:dyDescent="0.7">
      <c r="A874" s="248"/>
      <c r="B874" s="214"/>
      <c r="C874" s="207"/>
      <c r="D874" s="232"/>
      <c r="E874" s="232"/>
      <c r="F874" s="209"/>
      <c r="G874" s="209"/>
      <c r="H874" s="209"/>
      <c r="I874" s="209"/>
      <c r="J874" s="209"/>
      <c r="K874" s="209"/>
      <c r="L874" s="209"/>
      <c r="M874" s="207"/>
      <c r="N874" s="209"/>
      <c r="O874" s="209"/>
      <c r="P874" s="209"/>
      <c r="Q874" s="209"/>
      <c r="R874" s="209"/>
      <c r="S874" s="210"/>
    </row>
    <row r="875" spans="1:19" s="14" customFormat="1" ht="57" x14ac:dyDescent="0.7">
      <c r="A875" s="248"/>
      <c r="B875" s="214"/>
      <c r="C875" s="207"/>
      <c r="D875" s="232"/>
      <c r="E875" s="232"/>
      <c r="F875" s="209"/>
      <c r="G875" s="209"/>
      <c r="H875" s="209"/>
      <c r="I875" s="209"/>
      <c r="J875" s="209"/>
      <c r="K875" s="209"/>
      <c r="L875" s="209"/>
      <c r="M875" s="207"/>
      <c r="N875" s="209"/>
      <c r="O875" s="209"/>
      <c r="P875" s="209"/>
      <c r="Q875" s="209"/>
      <c r="R875" s="209"/>
      <c r="S875" s="210"/>
    </row>
    <row r="876" spans="1:19" s="14" customFormat="1" ht="57" x14ac:dyDescent="0.7">
      <c r="A876" s="248"/>
      <c r="B876" s="214"/>
      <c r="C876" s="207"/>
      <c r="D876" s="232"/>
      <c r="E876" s="232"/>
      <c r="F876" s="209"/>
      <c r="G876" s="209"/>
      <c r="H876" s="209"/>
      <c r="I876" s="209"/>
      <c r="J876" s="209"/>
      <c r="K876" s="209"/>
      <c r="L876" s="209"/>
      <c r="M876" s="207"/>
      <c r="N876" s="209"/>
      <c r="O876" s="209"/>
      <c r="P876" s="209"/>
      <c r="Q876" s="209"/>
      <c r="R876" s="209"/>
      <c r="S876" s="210"/>
    </row>
    <row r="877" spans="1:19" s="14" customFormat="1" ht="57" x14ac:dyDescent="0.7">
      <c r="A877" s="248"/>
      <c r="B877" s="214"/>
      <c r="C877" s="207"/>
      <c r="D877" s="232"/>
      <c r="E877" s="232"/>
      <c r="F877" s="209"/>
      <c r="G877" s="209"/>
      <c r="H877" s="209"/>
      <c r="I877" s="209"/>
      <c r="J877" s="209"/>
      <c r="K877" s="209"/>
      <c r="L877" s="209"/>
      <c r="M877" s="207"/>
      <c r="N877" s="209"/>
      <c r="O877" s="209"/>
      <c r="P877" s="209"/>
      <c r="Q877" s="209"/>
      <c r="R877" s="209"/>
      <c r="S877" s="210"/>
    </row>
    <row r="878" spans="1:19" s="14" customFormat="1" ht="57" x14ac:dyDescent="0.7">
      <c r="A878" s="248"/>
      <c r="B878" s="214"/>
      <c r="C878" s="207"/>
      <c r="D878" s="232"/>
      <c r="E878" s="232"/>
      <c r="F878" s="209"/>
      <c r="G878" s="209"/>
      <c r="H878" s="209"/>
      <c r="I878" s="209"/>
      <c r="J878" s="209"/>
      <c r="K878" s="209"/>
      <c r="L878" s="209"/>
      <c r="M878" s="207"/>
      <c r="N878" s="209"/>
      <c r="O878" s="209"/>
      <c r="P878" s="209"/>
      <c r="Q878" s="209"/>
      <c r="R878" s="209"/>
      <c r="S878" s="210"/>
    </row>
    <row r="879" spans="1:19" s="14" customFormat="1" ht="57" x14ac:dyDescent="0.7">
      <c r="A879" s="248"/>
      <c r="B879" s="214"/>
      <c r="C879" s="207"/>
      <c r="D879" s="232"/>
      <c r="E879" s="232"/>
      <c r="F879" s="209"/>
      <c r="G879" s="209"/>
      <c r="H879" s="209"/>
      <c r="I879" s="209"/>
      <c r="J879" s="209"/>
      <c r="K879" s="209"/>
      <c r="L879" s="209"/>
      <c r="M879" s="207"/>
      <c r="N879" s="209"/>
      <c r="O879" s="209"/>
      <c r="P879" s="209"/>
      <c r="Q879" s="209"/>
      <c r="R879" s="209"/>
      <c r="S879" s="210"/>
    </row>
    <row r="880" spans="1:19" s="14" customFormat="1" ht="57" x14ac:dyDescent="0.7">
      <c r="A880" s="248"/>
      <c r="B880" s="214"/>
      <c r="C880" s="207"/>
      <c r="D880" s="232"/>
      <c r="E880" s="232"/>
      <c r="F880" s="209"/>
      <c r="G880" s="209"/>
      <c r="H880" s="209"/>
      <c r="I880" s="209"/>
      <c r="J880" s="209"/>
      <c r="K880" s="209"/>
      <c r="L880" s="209"/>
      <c r="M880" s="207"/>
      <c r="N880" s="209"/>
      <c r="O880" s="209"/>
      <c r="P880" s="209"/>
      <c r="Q880" s="209"/>
      <c r="R880" s="209"/>
      <c r="S880" s="210"/>
    </row>
    <row r="881" spans="1:19" s="14" customFormat="1" ht="57" x14ac:dyDescent="0.7">
      <c r="A881" s="248"/>
      <c r="B881" s="214"/>
      <c r="C881" s="207"/>
      <c r="D881" s="232"/>
      <c r="E881" s="232"/>
      <c r="F881" s="209"/>
      <c r="G881" s="209"/>
      <c r="H881" s="209"/>
      <c r="I881" s="209"/>
      <c r="J881" s="209"/>
      <c r="K881" s="209"/>
      <c r="L881" s="209"/>
      <c r="M881" s="207"/>
      <c r="N881" s="209"/>
      <c r="O881" s="209"/>
      <c r="P881" s="209"/>
      <c r="Q881" s="209"/>
      <c r="R881" s="209"/>
      <c r="S881" s="210"/>
    </row>
    <row r="882" spans="1:19" s="14" customFormat="1" ht="57" x14ac:dyDescent="0.7">
      <c r="A882" s="248"/>
      <c r="B882" s="214"/>
      <c r="C882" s="207"/>
      <c r="D882" s="232"/>
      <c r="E882" s="232"/>
      <c r="F882" s="209"/>
      <c r="G882" s="209"/>
      <c r="H882" s="209"/>
      <c r="I882" s="209"/>
      <c r="J882" s="209"/>
      <c r="K882" s="209"/>
      <c r="L882" s="209"/>
      <c r="M882" s="207"/>
      <c r="N882" s="209"/>
      <c r="O882" s="209"/>
      <c r="P882" s="209"/>
      <c r="Q882" s="209"/>
      <c r="R882" s="209"/>
      <c r="S882" s="210"/>
    </row>
    <row r="883" spans="1:19" s="14" customFormat="1" ht="57" x14ac:dyDescent="0.7">
      <c r="A883" s="248"/>
      <c r="B883" s="214"/>
      <c r="C883" s="207"/>
      <c r="D883" s="232"/>
      <c r="E883" s="232"/>
      <c r="F883" s="209"/>
      <c r="G883" s="209"/>
      <c r="H883" s="209"/>
      <c r="I883" s="209"/>
      <c r="J883" s="209"/>
      <c r="K883" s="209"/>
      <c r="L883" s="209"/>
      <c r="M883" s="207"/>
      <c r="N883" s="209"/>
      <c r="O883" s="209"/>
      <c r="P883" s="209"/>
      <c r="Q883" s="209"/>
      <c r="R883" s="209"/>
      <c r="S883" s="210"/>
    </row>
    <row r="884" spans="1:19" s="14" customFormat="1" ht="57" x14ac:dyDescent="0.7">
      <c r="A884" s="248"/>
      <c r="B884" s="214"/>
      <c r="C884" s="207"/>
      <c r="D884" s="232"/>
      <c r="E884" s="232"/>
      <c r="F884" s="209"/>
      <c r="G884" s="209"/>
      <c r="H884" s="209"/>
      <c r="I884" s="209"/>
      <c r="J884" s="209"/>
      <c r="K884" s="209"/>
      <c r="L884" s="209"/>
      <c r="M884" s="207"/>
      <c r="N884" s="209"/>
      <c r="O884" s="209"/>
      <c r="P884" s="209"/>
      <c r="Q884" s="209"/>
      <c r="R884" s="209"/>
      <c r="S884" s="210"/>
    </row>
    <row r="885" spans="1:19" s="14" customFormat="1" ht="57" x14ac:dyDescent="0.7">
      <c r="A885" s="248"/>
      <c r="B885" s="214"/>
      <c r="C885" s="207"/>
      <c r="D885" s="232"/>
      <c r="E885" s="232"/>
      <c r="F885" s="209"/>
      <c r="G885" s="209"/>
      <c r="H885" s="209"/>
      <c r="I885" s="209"/>
      <c r="J885" s="209"/>
      <c r="K885" s="209"/>
      <c r="L885" s="209"/>
      <c r="M885" s="207"/>
      <c r="N885" s="209"/>
      <c r="O885" s="209"/>
      <c r="P885" s="209"/>
      <c r="Q885" s="209"/>
      <c r="R885" s="209"/>
      <c r="S885" s="210"/>
    </row>
    <row r="886" spans="1:19" s="14" customFormat="1" ht="57" x14ac:dyDescent="0.7">
      <c r="A886" s="248"/>
      <c r="B886" s="214"/>
      <c r="C886" s="207"/>
      <c r="D886" s="232"/>
      <c r="E886" s="232"/>
      <c r="F886" s="209"/>
      <c r="G886" s="209"/>
      <c r="H886" s="209"/>
      <c r="I886" s="209"/>
      <c r="J886" s="209"/>
      <c r="K886" s="209"/>
      <c r="L886" s="209"/>
      <c r="M886" s="207"/>
      <c r="N886" s="209"/>
      <c r="O886" s="209"/>
      <c r="P886" s="209"/>
      <c r="Q886" s="209"/>
      <c r="R886" s="209"/>
      <c r="S886" s="210"/>
    </row>
    <row r="887" spans="1:19" s="14" customFormat="1" ht="57" x14ac:dyDescent="0.7">
      <c r="A887" s="248"/>
      <c r="B887" s="214"/>
      <c r="C887" s="207"/>
      <c r="D887" s="232"/>
      <c r="E887" s="232"/>
      <c r="F887" s="209"/>
      <c r="G887" s="209"/>
      <c r="H887" s="209"/>
      <c r="I887" s="209"/>
      <c r="J887" s="209"/>
      <c r="K887" s="209"/>
      <c r="L887" s="209"/>
      <c r="M887" s="207"/>
      <c r="N887" s="209"/>
      <c r="O887" s="209"/>
      <c r="P887" s="209"/>
      <c r="Q887" s="209"/>
      <c r="R887" s="209"/>
      <c r="S887" s="210"/>
    </row>
    <row r="888" spans="1:19" s="14" customFormat="1" ht="57" x14ac:dyDescent="0.7">
      <c r="A888" s="248"/>
      <c r="B888" s="214"/>
      <c r="C888" s="207"/>
      <c r="D888" s="232"/>
      <c r="E888" s="232"/>
      <c r="F888" s="209"/>
      <c r="G888" s="209"/>
      <c r="H888" s="209"/>
      <c r="I888" s="209"/>
      <c r="J888" s="209"/>
      <c r="K888" s="209"/>
      <c r="L888" s="209"/>
      <c r="M888" s="207"/>
      <c r="N888" s="209"/>
      <c r="O888" s="209"/>
      <c r="P888" s="209"/>
      <c r="Q888" s="209"/>
      <c r="R888" s="209"/>
      <c r="S888" s="210"/>
    </row>
    <row r="889" spans="1:19" s="14" customFormat="1" ht="57" x14ac:dyDescent="0.7">
      <c r="A889" s="248"/>
      <c r="B889" s="214"/>
      <c r="C889" s="207"/>
      <c r="D889" s="232"/>
      <c r="E889" s="232"/>
      <c r="F889" s="209"/>
      <c r="G889" s="209"/>
      <c r="H889" s="209"/>
      <c r="I889" s="209"/>
      <c r="J889" s="209"/>
      <c r="K889" s="209"/>
      <c r="L889" s="209"/>
      <c r="M889" s="207"/>
      <c r="N889" s="209"/>
      <c r="O889" s="209"/>
      <c r="P889" s="209"/>
      <c r="Q889" s="209"/>
      <c r="R889" s="209"/>
      <c r="S889" s="210"/>
    </row>
    <row r="890" spans="1:19" s="14" customFormat="1" ht="57" x14ac:dyDescent="0.7">
      <c r="A890" s="248"/>
      <c r="B890" s="214"/>
      <c r="C890" s="207"/>
      <c r="D890" s="232"/>
      <c r="E890" s="232"/>
      <c r="F890" s="209"/>
      <c r="G890" s="209"/>
      <c r="H890" s="209"/>
      <c r="I890" s="209"/>
      <c r="J890" s="209"/>
      <c r="K890" s="209"/>
      <c r="L890" s="209"/>
      <c r="M890" s="207"/>
      <c r="N890" s="209"/>
      <c r="O890" s="209"/>
      <c r="P890" s="209"/>
      <c r="Q890" s="209"/>
      <c r="R890" s="209"/>
      <c r="S890" s="210"/>
    </row>
    <row r="891" spans="1:19" s="14" customFormat="1" ht="57" x14ac:dyDescent="0.7">
      <c r="A891" s="248"/>
      <c r="B891" s="214"/>
      <c r="C891" s="207"/>
      <c r="D891" s="232"/>
      <c r="E891" s="232"/>
      <c r="F891" s="209"/>
      <c r="G891" s="209"/>
      <c r="H891" s="209"/>
      <c r="I891" s="209"/>
      <c r="J891" s="209"/>
      <c r="K891" s="209"/>
      <c r="L891" s="209"/>
      <c r="M891" s="207"/>
      <c r="N891" s="209"/>
      <c r="O891" s="209"/>
      <c r="P891" s="209"/>
      <c r="Q891" s="209"/>
      <c r="R891" s="209"/>
      <c r="S891" s="210"/>
    </row>
    <row r="892" spans="1:19" s="14" customFormat="1" ht="57" x14ac:dyDescent="0.7">
      <c r="A892" s="248"/>
      <c r="B892" s="214"/>
      <c r="C892" s="207"/>
      <c r="D892" s="232"/>
      <c r="E892" s="232"/>
      <c r="F892" s="209"/>
      <c r="G892" s="209"/>
      <c r="H892" s="209"/>
      <c r="I892" s="209"/>
      <c r="J892" s="209"/>
      <c r="K892" s="209"/>
      <c r="L892" s="209"/>
      <c r="M892" s="207"/>
      <c r="N892" s="209"/>
      <c r="O892" s="209"/>
      <c r="P892" s="209"/>
      <c r="Q892" s="209"/>
      <c r="R892" s="209"/>
      <c r="S892" s="210"/>
    </row>
    <row r="893" spans="1:19" s="14" customFormat="1" ht="57" x14ac:dyDescent="0.7">
      <c r="A893" s="248"/>
      <c r="B893" s="214"/>
      <c r="C893" s="207"/>
      <c r="D893" s="232"/>
      <c r="E893" s="232"/>
      <c r="F893" s="209"/>
      <c r="G893" s="209"/>
      <c r="H893" s="209"/>
      <c r="I893" s="209"/>
      <c r="J893" s="209"/>
      <c r="K893" s="209"/>
      <c r="L893" s="209"/>
      <c r="M893" s="207"/>
      <c r="N893" s="209"/>
      <c r="O893" s="209"/>
      <c r="P893" s="209"/>
      <c r="Q893" s="209"/>
      <c r="R893" s="209"/>
      <c r="S893" s="210"/>
    </row>
    <row r="894" spans="1:19" s="14" customFormat="1" ht="57" x14ac:dyDescent="0.7">
      <c r="A894" s="248"/>
      <c r="B894" s="214"/>
      <c r="C894" s="207"/>
      <c r="D894" s="232"/>
      <c r="E894" s="232"/>
      <c r="F894" s="209"/>
      <c r="G894" s="209"/>
      <c r="H894" s="209"/>
      <c r="I894" s="209"/>
      <c r="J894" s="209"/>
      <c r="K894" s="209"/>
      <c r="L894" s="209"/>
      <c r="M894" s="207"/>
      <c r="N894" s="209"/>
      <c r="O894" s="209"/>
      <c r="P894" s="209"/>
      <c r="Q894" s="209"/>
      <c r="R894" s="209"/>
      <c r="S894" s="210"/>
    </row>
    <row r="895" spans="1:19" s="14" customFormat="1" ht="57" x14ac:dyDescent="0.7">
      <c r="A895" s="248"/>
      <c r="B895" s="214"/>
      <c r="C895" s="207"/>
      <c r="D895" s="232"/>
      <c r="E895" s="232"/>
      <c r="F895" s="209"/>
      <c r="G895" s="209"/>
      <c r="H895" s="209"/>
      <c r="I895" s="209"/>
      <c r="J895" s="209"/>
      <c r="K895" s="209"/>
      <c r="L895" s="209"/>
      <c r="M895" s="207"/>
      <c r="N895" s="209"/>
      <c r="O895" s="209"/>
      <c r="P895" s="209"/>
      <c r="Q895" s="209"/>
      <c r="R895" s="209"/>
      <c r="S895" s="210"/>
    </row>
    <row r="896" spans="1:19" s="14" customFormat="1" ht="57" x14ac:dyDescent="0.7">
      <c r="A896" s="248"/>
      <c r="B896" s="214"/>
      <c r="C896" s="207"/>
      <c r="D896" s="232"/>
      <c r="E896" s="232"/>
      <c r="F896" s="209"/>
      <c r="G896" s="209"/>
      <c r="H896" s="209"/>
      <c r="I896" s="209"/>
      <c r="J896" s="209"/>
      <c r="K896" s="209"/>
      <c r="L896" s="209"/>
      <c r="M896" s="207"/>
      <c r="N896" s="209"/>
      <c r="O896" s="209"/>
      <c r="P896" s="209"/>
      <c r="Q896" s="209"/>
      <c r="R896" s="209"/>
      <c r="S896" s="210"/>
    </row>
    <row r="897" spans="1:19" s="14" customFormat="1" ht="57" x14ac:dyDescent="0.7">
      <c r="A897" s="248"/>
      <c r="B897" s="214"/>
      <c r="C897" s="207"/>
      <c r="D897" s="232"/>
      <c r="E897" s="232"/>
      <c r="F897" s="209"/>
      <c r="G897" s="209"/>
      <c r="H897" s="209"/>
      <c r="I897" s="209"/>
      <c r="J897" s="209"/>
      <c r="K897" s="209"/>
      <c r="L897" s="209"/>
      <c r="M897" s="207"/>
      <c r="N897" s="209"/>
      <c r="O897" s="209"/>
      <c r="P897" s="209"/>
      <c r="Q897" s="209"/>
      <c r="R897" s="209"/>
      <c r="S897" s="210"/>
    </row>
    <row r="898" spans="1:19" s="14" customFormat="1" ht="57" x14ac:dyDescent="0.7">
      <c r="A898" s="248"/>
      <c r="B898" s="214"/>
      <c r="C898" s="207"/>
      <c r="D898" s="232"/>
      <c r="E898" s="232"/>
      <c r="F898" s="209"/>
      <c r="G898" s="209"/>
      <c r="H898" s="209"/>
      <c r="I898" s="209"/>
      <c r="J898" s="209"/>
      <c r="K898" s="209"/>
      <c r="L898" s="209"/>
      <c r="M898" s="207"/>
      <c r="N898" s="209"/>
      <c r="O898" s="209"/>
      <c r="P898" s="209"/>
      <c r="Q898" s="209"/>
      <c r="R898" s="209"/>
      <c r="S898" s="210"/>
    </row>
    <row r="899" spans="1:19" s="14" customFormat="1" ht="57" x14ac:dyDescent="0.7">
      <c r="A899" s="248"/>
      <c r="B899" s="214"/>
      <c r="C899" s="207"/>
      <c r="D899" s="232"/>
      <c r="E899" s="232"/>
      <c r="F899" s="209"/>
      <c r="G899" s="209"/>
      <c r="H899" s="209"/>
      <c r="I899" s="209"/>
      <c r="J899" s="209"/>
      <c r="K899" s="209"/>
      <c r="L899" s="209"/>
      <c r="M899" s="207"/>
      <c r="N899" s="209"/>
      <c r="O899" s="209"/>
      <c r="P899" s="209"/>
      <c r="Q899" s="209"/>
      <c r="R899" s="209"/>
      <c r="S899" s="210"/>
    </row>
    <row r="900" spans="1:19" s="14" customFormat="1" ht="57" x14ac:dyDescent="0.7">
      <c r="A900" s="248"/>
      <c r="B900" s="214"/>
      <c r="C900" s="207"/>
      <c r="D900" s="232"/>
      <c r="E900" s="232"/>
      <c r="F900" s="209"/>
      <c r="G900" s="209"/>
      <c r="H900" s="209"/>
      <c r="I900" s="209"/>
      <c r="J900" s="209"/>
      <c r="K900" s="209"/>
      <c r="L900" s="209"/>
      <c r="M900" s="207"/>
      <c r="N900" s="209"/>
      <c r="O900" s="209"/>
      <c r="P900" s="209"/>
      <c r="Q900" s="209"/>
      <c r="R900" s="209"/>
      <c r="S900" s="210"/>
    </row>
    <row r="901" spans="1:19" s="14" customFormat="1" ht="57" x14ac:dyDescent="0.7">
      <c r="A901" s="248"/>
      <c r="B901" s="214"/>
      <c r="C901" s="207"/>
      <c r="D901" s="232"/>
      <c r="E901" s="232"/>
      <c r="F901" s="209"/>
      <c r="G901" s="209"/>
      <c r="H901" s="209"/>
      <c r="I901" s="209"/>
      <c r="J901" s="209"/>
      <c r="K901" s="209"/>
      <c r="L901" s="209"/>
      <c r="M901" s="207"/>
      <c r="N901" s="209"/>
      <c r="O901" s="209"/>
      <c r="P901" s="209"/>
      <c r="Q901" s="209"/>
      <c r="R901" s="209"/>
      <c r="S901" s="210"/>
    </row>
    <row r="902" spans="1:19" s="14" customFormat="1" ht="57" x14ac:dyDescent="0.7">
      <c r="A902" s="248"/>
      <c r="B902" s="214"/>
      <c r="C902" s="207"/>
      <c r="D902" s="232"/>
      <c r="E902" s="232"/>
      <c r="F902" s="209"/>
      <c r="G902" s="209"/>
      <c r="H902" s="209"/>
      <c r="I902" s="209"/>
      <c r="J902" s="209"/>
      <c r="K902" s="209"/>
      <c r="L902" s="209"/>
      <c r="M902" s="207"/>
      <c r="N902" s="209"/>
      <c r="O902" s="209"/>
      <c r="P902" s="209"/>
      <c r="Q902" s="209"/>
      <c r="R902" s="209"/>
      <c r="S902" s="210"/>
    </row>
    <row r="903" spans="1:19" s="14" customFormat="1" ht="57" x14ac:dyDescent="0.7">
      <c r="A903" s="248"/>
      <c r="B903" s="214"/>
      <c r="C903" s="207"/>
      <c r="D903" s="232"/>
      <c r="E903" s="232"/>
      <c r="F903" s="209"/>
      <c r="G903" s="209"/>
      <c r="H903" s="209"/>
      <c r="I903" s="209"/>
      <c r="J903" s="209"/>
      <c r="K903" s="209"/>
      <c r="L903" s="209"/>
      <c r="M903" s="207"/>
      <c r="N903" s="209"/>
      <c r="O903" s="209"/>
      <c r="P903" s="209"/>
      <c r="Q903" s="209"/>
      <c r="R903" s="209"/>
      <c r="S903" s="210"/>
    </row>
    <row r="904" spans="1:19" s="14" customFormat="1" ht="57" x14ac:dyDescent="0.7">
      <c r="A904" s="248"/>
      <c r="B904" s="214"/>
      <c r="C904" s="207"/>
      <c r="D904" s="232"/>
      <c r="E904" s="232"/>
      <c r="F904" s="209"/>
      <c r="G904" s="209"/>
      <c r="H904" s="209"/>
      <c r="I904" s="209"/>
      <c r="J904" s="209"/>
      <c r="K904" s="209"/>
      <c r="L904" s="209"/>
      <c r="M904" s="207"/>
      <c r="N904" s="209"/>
      <c r="O904" s="209"/>
      <c r="P904" s="209"/>
      <c r="Q904" s="209"/>
      <c r="R904" s="209"/>
      <c r="S904" s="210"/>
    </row>
    <row r="905" spans="1:19" s="14" customFormat="1" ht="57" x14ac:dyDescent="0.7">
      <c r="A905" s="248"/>
      <c r="B905" s="214"/>
      <c r="C905" s="207"/>
      <c r="D905" s="232"/>
      <c r="E905" s="232"/>
      <c r="F905" s="209"/>
      <c r="G905" s="209"/>
      <c r="H905" s="209"/>
      <c r="I905" s="209"/>
      <c r="J905" s="209"/>
      <c r="K905" s="209"/>
      <c r="L905" s="209"/>
      <c r="M905" s="207"/>
      <c r="N905" s="209"/>
      <c r="O905" s="209"/>
      <c r="P905" s="209"/>
      <c r="Q905" s="209"/>
      <c r="R905" s="209"/>
      <c r="S905" s="210"/>
    </row>
    <row r="906" spans="1:19" s="14" customFormat="1" ht="57" x14ac:dyDescent="0.7">
      <c r="A906" s="248"/>
      <c r="B906" s="214"/>
      <c r="C906" s="207"/>
      <c r="D906" s="232"/>
      <c r="E906" s="232"/>
      <c r="F906" s="209"/>
      <c r="G906" s="209"/>
      <c r="H906" s="209"/>
      <c r="I906" s="209"/>
      <c r="J906" s="209"/>
      <c r="K906" s="209"/>
      <c r="L906" s="209"/>
      <c r="M906" s="207"/>
      <c r="N906" s="209"/>
      <c r="O906" s="209"/>
      <c r="P906" s="209"/>
      <c r="Q906" s="209"/>
      <c r="R906" s="209"/>
      <c r="S906" s="210"/>
    </row>
    <row r="907" spans="1:19" s="14" customFormat="1" ht="57" x14ac:dyDescent="0.7">
      <c r="A907" s="248"/>
      <c r="B907" s="214"/>
      <c r="C907" s="207"/>
      <c r="D907" s="232"/>
      <c r="E907" s="232"/>
      <c r="F907" s="209"/>
      <c r="G907" s="209"/>
      <c r="H907" s="209"/>
      <c r="I907" s="209"/>
      <c r="J907" s="209"/>
      <c r="K907" s="209"/>
      <c r="L907" s="209"/>
      <c r="M907" s="207"/>
      <c r="N907" s="209"/>
      <c r="O907" s="209"/>
      <c r="P907" s="209"/>
      <c r="Q907" s="209"/>
      <c r="R907" s="209"/>
      <c r="S907" s="210"/>
    </row>
    <row r="908" spans="1:19" s="14" customFormat="1" ht="57" x14ac:dyDescent="0.7">
      <c r="A908" s="248"/>
      <c r="B908" s="214"/>
      <c r="C908" s="207"/>
      <c r="D908" s="232"/>
      <c r="E908" s="232"/>
      <c r="F908" s="209"/>
      <c r="G908" s="209"/>
      <c r="H908" s="209"/>
      <c r="I908" s="209"/>
      <c r="J908" s="209"/>
      <c r="K908" s="209"/>
      <c r="L908" s="209"/>
      <c r="M908" s="207"/>
      <c r="N908" s="209"/>
      <c r="O908" s="209"/>
      <c r="P908" s="209"/>
      <c r="Q908" s="209"/>
      <c r="R908" s="209"/>
      <c r="S908" s="210"/>
    </row>
    <row r="909" spans="1:19" s="14" customFormat="1" ht="57" x14ac:dyDescent="0.7">
      <c r="A909" s="248"/>
      <c r="B909" s="214"/>
      <c r="C909" s="207"/>
      <c r="D909" s="232"/>
      <c r="E909" s="232"/>
      <c r="F909" s="209"/>
      <c r="G909" s="209"/>
      <c r="H909" s="209"/>
      <c r="I909" s="209"/>
      <c r="J909" s="209"/>
      <c r="K909" s="209"/>
      <c r="L909" s="209"/>
      <c r="M909" s="207"/>
      <c r="N909" s="209"/>
      <c r="O909" s="209"/>
      <c r="P909" s="209"/>
      <c r="Q909" s="209"/>
      <c r="R909" s="209"/>
      <c r="S909" s="210"/>
    </row>
    <row r="910" spans="1:19" s="14" customFormat="1" ht="57" x14ac:dyDescent="0.7">
      <c r="A910" s="248"/>
      <c r="B910" s="214"/>
      <c r="C910" s="207"/>
      <c r="D910" s="232"/>
      <c r="E910" s="232"/>
      <c r="F910" s="209"/>
      <c r="G910" s="209"/>
      <c r="H910" s="209"/>
      <c r="I910" s="209"/>
      <c r="J910" s="209"/>
      <c r="K910" s="209"/>
      <c r="L910" s="209"/>
      <c r="M910" s="207"/>
      <c r="N910" s="209"/>
      <c r="O910" s="209"/>
      <c r="P910" s="209"/>
      <c r="Q910" s="209"/>
      <c r="R910" s="209"/>
      <c r="S910" s="210"/>
    </row>
    <row r="911" spans="1:19" s="14" customFormat="1" ht="57" x14ac:dyDescent="0.7">
      <c r="A911" s="248"/>
      <c r="B911" s="214"/>
      <c r="C911" s="207"/>
      <c r="D911" s="232"/>
      <c r="E911" s="232"/>
      <c r="F911" s="209"/>
      <c r="G911" s="209"/>
      <c r="H911" s="209"/>
      <c r="I911" s="209"/>
      <c r="J911" s="209"/>
      <c r="K911" s="209"/>
      <c r="L911" s="209"/>
      <c r="M911" s="207"/>
      <c r="N911" s="209"/>
      <c r="O911" s="209"/>
      <c r="P911" s="209"/>
      <c r="Q911" s="209"/>
      <c r="R911" s="209"/>
      <c r="S911" s="210"/>
    </row>
    <row r="912" spans="1:19" s="14" customFormat="1" ht="57" x14ac:dyDescent="0.7">
      <c r="A912" s="248"/>
      <c r="B912" s="214"/>
      <c r="C912" s="207"/>
      <c r="D912" s="232"/>
      <c r="E912" s="232"/>
      <c r="F912" s="209"/>
      <c r="G912" s="209"/>
      <c r="H912" s="209"/>
      <c r="I912" s="209"/>
      <c r="J912" s="209"/>
      <c r="K912" s="209"/>
      <c r="L912" s="209"/>
      <c r="M912" s="207"/>
      <c r="N912" s="209"/>
      <c r="O912" s="209"/>
      <c r="P912" s="209"/>
      <c r="Q912" s="209"/>
      <c r="R912" s="209"/>
      <c r="S912" s="210"/>
    </row>
    <row r="913" spans="1:19" s="14" customFormat="1" ht="57" x14ac:dyDescent="0.7">
      <c r="A913" s="248"/>
      <c r="B913" s="214"/>
      <c r="C913" s="207"/>
      <c r="D913" s="232"/>
      <c r="E913" s="232"/>
      <c r="F913" s="209"/>
      <c r="G913" s="209"/>
      <c r="H913" s="209"/>
      <c r="I913" s="209"/>
      <c r="J913" s="209"/>
      <c r="K913" s="209"/>
      <c r="L913" s="209"/>
      <c r="M913" s="207"/>
      <c r="N913" s="209"/>
      <c r="O913" s="209"/>
      <c r="P913" s="209"/>
      <c r="Q913" s="209"/>
      <c r="R913" s="209"/>
      <c r="S913" s="210"/>
    </row>
    <row r="914" spans="1:19" s="14" customFormat="1" ht="57" x14ac:dyDescent="0.7">
      <c r="A914" s="248"/>
      <c r="B914" s="214"/>
      <c r="C914" s="207"/>
      <c r="D914" s="232"/>
      <c r="E914" s="232"/>
      <c r="F914" s="209"/>
      <c r="G914" s="209"/>
      <c r="H914" s="209"/>
      <c r="I914" s="209"/>
      <c r="J914" s="209"/>
      <c r="K914" s="209"/>
      <c r="L914" s="209"/>
      <c r="M914" s="207"/>
      <c r="N914" s="209"/>
      <c r="O914" s="209"/>
      <c r="P914" s="209"/>
      <c r="Q914" s="209"/>
      <c r="R914" s="209"/>
      <c r="S914" s="210"/>
    </row>
    <row r="915" spans="1:19" s="14" customFormat="1" ht="57" x14ac:dyDescent="0.7">
      <c r="A915" s="248"/>
      <c r="B915" s="214"/>
      <c r="C915" s="207"/>
      <c r="D915" s="232"/>
      <c r="E915" s="232"/>
      <c r="F915" s="209"/>
      <c r="G915" s="209"/>
      <c r="H915" s="209"/>
      <c r="I915" s="209"/>
      <c r="J915" s="209"/>
      <c r="K915" s="209"/>
      <c r="L915" s="209"/>
      <c r="M915" s="207"/>
      <c r="N915" s="209"/>
      <c r="O915" s="209"/>
      <c r="P915" s="209"/>
      <c r="Q915" s="209"/>
      <c r="R915" s="209"/>
      <c r="S915" s="210"/>
    </row>
    <row r="916" spans="1:19" s="14" customFormat="1" ht="57" x14ac:dyDescent="0.7">
      <c r="A916" s="248"/>
      <c r="B916" s="214"/>
      <c r="C916" s="207"/>
      <c r="D916" s="232"/>
      <c r="E916" s="232"/>
      <c r="F916" s="209"/>
      <c r="G916" s="209"/>
      <c r="H916" s="209"/>
      <c r="I916" s="209"/>
      <c r="J916" s="209"/>
      <c r="K916" s="209"/>
      <c r="L916" s="209"/>
      <c r="M916" s="207"/>
      <c r="N916" s="209"/>
      <c r="O916" s="209"/>
      <c r="P916" s="209"/>
      <c r="Q916" s="209"/>
      <c r="R916" s="209"/>
      <c r="S916" s="210"/>
    </row>
    <row r="917" spans="1:19" s="14" customFormat="1" ht="57" x14ac:dyDescent="0.7">
      <c r="A917" s="248"/>
      <c r="B917" s="214"/>
      <c r="C917" s="207"/>
      <c r="D917" s="232"/>
      <c r="E917" s="232"/>
      <c r="F917" s="209"/>
      <c r="G917" s="209"/>
      <c r="H917" s="209"/>
      <c r="I917" s="209"/>
      <c r="J917" s="209"/>
      <c r="K917" s="209"/>
      <c r="L917" s="209"/>
      <c r="M917" s="207"/>
      <c r="N917" s="209"/>
      <c r="O917" s="209"/>
      <c r="P917" s="209"/>
      <c r="Q917" s="209"/>
      <c r="R917" s="209"/>
      <c r="S917" s="210"/>
    </row>
    <row r="918" spans="1:19" s="14" customFormat="1" ht="57" x14ac:dyDescent="0.7">
      <c r="A918" s="248"/>
      <c r="B918" s="214"/>
      <c r="C918" s="207"/>
      <c r="D918" s="232"/>
      <c r="E918" s="232"/>
      <c r="F918" s="209"/>
      <c r="G918" s="209"/>
      <c r="H918" s="209"/>
      <c r="I918" s="209"/>
      <c r="J918" s="209"/>
      <c r="K918" s="209"/>
      <c r="L918" s="209"/>
      <c r="M918" s="207"/>
      <c r="N918" s="209"/>
      <c r="O918" s="209"/>
      <c r="P918" s="209"/>
      <c r="Q918" s="209"/>
      <c r="R918" s="209"/>
      <c r="S918" s="210"/>
    </row>
    <row r="919" spans="1:19" s="14" customFormat="1" ht="57" x14ac:dyDescent="0.7">
      <c r="A919" s="248"/>
      <c r="B919" s="214"/>
      <c r="C919" s="207"/>
      <c r="D919" s="232"/>
      <c r="E919" s="232"/>
      <c r="F919" s="209"/>
      <c r="G919" s="209"/>
      <c r="H919" s="209"/>
      <c r="I919" s="209"/>
      <c r="J919" s="209"/>
      <c r="K919" s="209"/>
      <c r="L919" s="209"/>
      <c r="M919" s="207"/>
      <c r="N919" s="209"/>
      <c r="O919" s="209"/>
      <c r="P919" s="209"/>
      <c r="Q919" s="209"/>
      <c r="R919" s="209"/>
      <c r="S919" s="210"/>
    </row>
    <row r="920" spans="1:19" s="14" customFormat="1" ht="57" x14ac:dyDescent="0.7">
      <c r="A920" s="248"/>
      <c r="B920" s="214"/>
      <c r="C920" s="207"/>
      <c r="D920" s="232"/>
      <c r="E920" s="232"/>
      <c r="F920" s="209"/>
      <c r="G920" s="209"/>
      <c r="H920" s="209"/>
      <c r="I920" s="209"/>
      <c r="J920" s="209"/>
      <c r="K920" s="209"/>
      <c r="L920" s="209"/>
      <c r="M920" s="207"/>
      <c r="N920" s="209"/>
      <c r="O920" s="209"/>
      <c r="P920" s="209"/>
      <c r="Q920" s="209"/>
      <c r="R920" s="209"/>
      <c r="S920" s="210"/>
    </row>
    <row r="921" spans="1:19" s="14" customFormat="1" ht="57" x14ac:dyDescent="0.7">
      <c r="A921" s="248"/>
      <c r="B921" s="214"/>
      <c r="C921" s="207"/>
      <c r="D921" s="232"/>
      <c r="E921" s="232"/>
      <c r="F921" s="209"/>
      <c r="G921" s="209"/>
      <c r="H921" s="209"/>
      <c r="I921" s="209"/>
      <c r="J921" s="209"/>
      <c r="K921" s="209"/>
      <c r="L921" s="209"/>
      <c r="M921" s="207"/>
      <c r="N921" s="209"/>
      <c r="O921" s="209"/>
      <c r="P921" s="209"/>
      <c r="Q921" s="209"/>
      <c r="R921" s="209"/>
      <c r="S921" s="210"/>
    </row>
    <row r="922" spans="1:19" s="14" customFormat="1" ht="57" x14ac:dyDescent="0.7">
      <c r="A922" s="248"/>
      <c r="B922" s="214"/>
      <c r="C922" s="207"/>
      <c r="D922" s="232"/>
      <c r="E922" s="232"/>
      <c r="F922" s="209"/>
      <c r="G922" s="209"/>
      <c r="H922" s="209"/>
      <c r="I922" s="209"/>
      <c r="J922" s="209"/>
      <c r="K922" s="209"/>
      <c r="L922" s="209"/>
      <c r="M922" s="207"/>
      <c r="N922" s="209"/>
      <c r="O922" s="209"/>
      <c r="P922" s="209"/>
      <c r="Q922" s="209"/>
      <c r="R922" s="209"/>
      <c r="S922" s="210"/>
    </row>
    <row r="923" spans="1:19" s="14" customFormat="1" ht="57" x14ac:dyDescent="0.7">
      <c r="A923" s="248"/>
      <c r="B923" s="214"/>
      <c r="C923" s="207"/>
      <c r="D923" s="232"/>
      <c r="E923" s="232"/>
      <c r="F923" s="209"/>
      <c r="G923" s="209"/>
      <c r="H923" s="209"/>
      <c r="I923" s="209"/>
      <c r="J923" s="209"/>
      <c r="K923" s="209"/>
      <c r="L923" s="209"/>
      <c r="M923" s="207"/>
      <c r="N923" s="209"/>
      <c r="O923" s="209"/>
      <c r="P923" s="209"/>
      <c r="Q923" s="209"/>
      <c r="R923" s="209"/>
      <c r="S923" s="210"/>
    </row>
    <row r="924" spans="1:19" s="14" customFormat="1" ht="57" x14ac:dyDescent="0.7">
      <c r="A924" s="248"/>
      <c r="B924" s="214"/>
      <c r="C924" s="207"/>
      <c r="D924" s="232"/>
      <c r="E924" s="232"/>
      <c r="F924" s="209"/>
      <c r="G924" s="209"/>
      <c r="H924" s="209"/>
      <c r="I924" s="209"/>
      <c r="J924" s="209"/>
      <c r="K924" s="209"/>
      <c r="L924" s="209"/>
      <c r="M924" s="207"/>
      <c r="N924" s="209"/>
      <c r="O924" s="209"/>
      <c r="P924" s="209"/>
      <c r="Q924" s="209"/>
      <c r="R924" s="209"/>
      <c r="S924" s="210"/>
    </row>
    <row r="925" spans="1:19" s="14" customFormat="1" ht="57" x14ac:dyDescent="0.7">
      <c r="A925" s="248"/>
      <c r="B925" s="214"/>
      <c r="C925" s="207"/>
      <c r="D925" s="232"/>
      <c r="E925" s="232"/>
      <c r="F925" s="209"/>
      <c r="G925" s="209"/>
      <c r="H925" s="209"/>
      <c r="I925" s="209"/>
      <c r="J925" s="209"/>
      <c r="K925" s="209"/>
      <c r="L925" s="209"/>
      <c r="M925" s="207"/>
      <c r="N925" s="209"/>
      <c r="O925" s="209"/>
      <c r="P925" s="209"/>
      <c r="Q925" s="209"/>
      <c r="R925" s="209"/>
      <c r="S925" s="210"/>
    </row>
    <row r="926" spans="1:19" s="14" customFormat="1" ht="57" x14ac:dyDescent="0.7">
      <c r="A926" s="248"/>
      <c r="B926" s="214"/>
      <c r="C926" s="207"/>
      <c r="D926" s="232"/>
      <c r="E926" s="232"/>
      <c r="F926" s="209"/>
      <c r="G926" s="209"/>
      <c r="H926" s="209"/>
      <c r="I926" s="209"/>
      <c r="J926" s="209"/>
      <c r="K926" s="209"/>
      <c r="L926" s="209"/>
      <c r="M926" s="207"/>
      <c r="N926" s="209"/>
      <c r="O926" s="209"/>
      <c r="P926" s="209"/>
      <c r="Q926" s="209"/>
      <c r="R926" s="209"/>
      <c r="S926" s="210"/>
    </row>
    <row r="927" spans="1:19" s="14" customFormat="1" ht="57" x14ac:dyDescent="0.7">
      <c r="A927" s="248"/>
      <c r="B927" s="214"/>
      <c r="C927" s="207"/>
      <c r="D927" s="232"/>
      <c r="E927" s="232"/>
      <c r="F927" s="209"/>
      <c r="G927" s="209"/>
      <c r="H927" s="209"/>
      <c r="I927" s="209"/>
      <c r="J927" s="209"/>
      <c r="K927" s="209"/>
      <c r="L927" s="209"/>
      <c r="M927" s="207"/>
      <c r="N927" s="209"/>
      <c r="O927" s="209"/>
      <c r="P927" s="209"/>
      <c r="Q927" s="209"/>
      <c r="R927" s="209"/>
      <c r="S927" s="210"/>
    </row>
    <row r="928" spans="1:19" s="14" customFormat="1" ht="57" x14ac:dyDescent="0.7">
      <c r="A928" s="248"/>
      <c r="B928" s="214"/>
      <c r="C928" s="207"/>
      <c r="D928" s="232"/>
      <c r="E928" s="232"/>
      <c r="F928" s="209"/>
      <c r="G928" s="209"/>
      <c r="H928" s="209"/>
      <c r="I928" s="209"/>
      <c r="J928" s="209"/>
      <c r="K928" s="209"/>
      <c r="L928" s="209"/>
      <c r="M928" s="207"/>
      <c r="N928" s="209"/>
      <c r="O928" s="209"/>
      <c r="P928" s="209"/>
      <c r="Q928" s="209"/>
      <c r="R928" s="209"/>
      <c r="S928" s="210"/>
    </row>
    <row r="929" spans="1:19" s="14" customFormat="1" ht="57" x14ac:dyDescent="0.7">
      <c r="A929" s="248"/>
      <c r="B929" s="214"/>
      <c r="C929" s="207"/>
      <c r="D929" s="232"/>
      <c r="E929" s="232"/>
      <c r="F929" s="209"/>
      <c r="G929" s="209"/>
      <c r="H929" s="209"/>
      <c r="I929" s="209"/>
      <c r="J929" s="209"/>
      <c r="K929" s="209"/>
      <c r="L929" s="209"/>
      <c r="M929" s="207"/>
      <c r="N929" s="209"/>
      <c r="O929" s="209"/>
      <c r="P929" s="209"/>
      <c r="Q929" s="209"/>
      <c r="R929" s="209"/>
      <c r="S929" s="210"/>
    </row>
    <row r="930" spans="1:19" s="14" customFormat="1" ht="57" x14ac:dyDescent="0.7">
      <c r="A930" s="248"/>
      <c r="B930" s="214"/>
      <c r="C930" s="207"/>
      <c r="D930" s="232"/>
      <c r="E930" s="232"/>
      <c r="F930" s="209"/>
      <c r="G930" s="209"/>
      <c r="H930" s="209"/>
      <c r="I930" s="209"/>
      <c r="J930" s="209"/>
      <c r="K930" s="209"/>
      <c r="L930" s="209"/>
      <c r="M930" s="207"/>
      <c r="N930" s="209"/>
      <c r="O930" s="209"/>
      <c r="P930" s="209"/>
      <c r="Q930" s="209"/>
      <c r="R930" s="209"/>
      <c r="S930" s="210"/>
    </row>
    <row r="931" spans="1:19" s="14" customFormat="1" ht="57" x14ac:dyDescent="0.7">
      <c r="A931" s="248"/>
      <c r="B931" s="214"/>
      <c r="C931" s="207"/>
      <c r="D931" s="232"/>
      <c r="E931" s="232"/>
      <c r="F931" s="209"/>
      <c r="G931" s="209"/>
      <c r="H931" s="209"/>
      <c r="I931" s="209"/>
      <c r="J931" s="209"/>
      <c r="K931" s="209"/>
      <c r="L931" s="209"/>
      <c r="M931" s="207"/>
      <c r="N931" s="209"/>
      <c r="O931" s="209"/>
      <c r="P931" s="209"/>
      <c r="Q931" s="209"/>
      <c r="R931" s="209"/>
      <c r="S931" s="210"/>
    </row>
    <row r="932" spans="1:19" s="14" customFormat="1" ht="57" x14ac:dyDescent="0.7">
      <c r="A932" s="248"/>
      <c r="B932" s="214"/>
      <c r="C932" s="207"/>
      <c r="D932" s="232"/>
      <c r="E932" s="232"/>
      <c r="F932" s="209"/>
      <c r="G932" s="209"/>
      <c r="H932" s="209"/>
      <c r="I932" s="209"/>
      <c r="J932" s="209"/>
      <c r="K932" s="209"/>
      <c r="L932" s="209"/>
      <c r="M932" s="207"/>
      <c r="N932" s="209"/>
      <c r="O932" s="209"/>
      <c r="P932" s="209"/>
      <c r="Q932" s="209"/>
      <c r="R932" s="209"/>
      <c r="S932" s="210"/>
    </row>
    <row r="933" spans="1:19" s="14" customFormat="1" ht="57" x14ac:dyDescent="0.7">
      <c r="A933" s="248"/>
      <c r="B933" s="214"/>
      <c r="C933" s="207"/>
      <c r="D933" s="232"/>
      <c r="E933" s="232"/>
      <c r="F933" s="209"/>
      <c r="G933" s="209"/>
      <c r="H933" s="209"/>
      <c r="I933" s="209"/>
      <c r="J933" s="209"/>
      <c r="K933" s="209"/>
      <c r="L933" s="209"/>
      <c r="M933" s="207"/>
      <c r="N933" s="209"/>
      <c r="O933" s="209"/>
      <c r="P933" s="209"/>
      <c r="Q933" s="209"/>
      <c r="R933" s="209"/>
      <c r="S933" s="210"/>
    </row>
    <row r="934" spans="1:19" s="14" customFormat="1" ht="57" x14ac:dyDescent="0.7">
      <c r="A934" s="248"/>
      <c r="B934" s="214"/>
      <c r="C934" s="207"/>
      <c r="D934" s="232"/>
      <c r="E934" s="232"/>
      <c r="F934" s="209"/>
      <c r="G934" s="209"/>
      <c r="H934" s="209"/>
      <c r="I934" s="209"/>
      <c r="J934" s="209"/>
      <c r="K934" s="209"/>
      <c r="L934" s="209"/>
      <c r="M934" s="207"/>
      <c r="N934" s="209"/>
      <c r="O934" s="209"/>
      <c r="P934" s="209"/>
      <c r="Q934" s="209"/>
      <c r="R934" s="209"/>
      <c r="S934" s="210"/>
    </row>
    <row r="935" spans="1:19" s="14" customFormat="1" ht="57" x14ac:dyDescent="0.7">
      <c r="A935" s="248"/>
      <c r="B935" s="214"/>
      <c r="C935" s="207"/>
      <c r="D935" s="232"/>
      <c r="E935" s="232"/>
      <c r="F935" s="209"/>
      <c r="G935" s="209"/>
      <c r="H935" s="209"/>
      <c r="I935" s="209"/>
      <c r="J935" s="209"/>
      <c r="K935" s="209"/>
      <c r="L935" s="209"/>
      <c r="M935" s="207"/>
      <c r="N935" s="209"/>
      <c r="O935" s="209"/>
      <c r="P935" s="209"/>
      <c r="Q935" s="209"/>
      <c r="R935" s="209"/>
      <c r="S935" s="210"/>
    </row>
    <row r="936" spans="1:19" s="14" customFormat="1" ht="57" x14ac:dyDescent="0.7">
      <c r="A936" s="248"/>
      <c r="B936" s="214"/>
      <c r="C936" s="207"/>
      <c r="D936" s="232"/>
      <c r="E936" s="232"/>
      <c r="F936" s="209"/>
      <c r="G936" s="209"/>
      <c r="H936" s="209"/>
      <c r="I936" s="209"/>
      <c r="J936" s="209"/>
      <c r="K936" s="209"/>
      <c r="L936" s="209"/>
      <c r="M936" s="207"/>
      <c r="N936" s="209"/>
      <c r="O936" s="209"/>
      <c r="P936" s="209"/>
      <c r="Q936" s="209"/>
      <c r="R936" s="209"/>
      <c r="S936" s="210"/>
    </row>
    <row r="937" spans="1:19" s="14" customFormat="1" ht="57" x14ac:dyDescent="0.7">
      <c r="A937" s="248"/>
      <c r="B937" s="214"/>
      <c r="C937" s="207"/>
      <c r="D937" s="232"/>
      <c r="E937" s="232"/>
      <c r="F937" s="209"/>
      <c r="G937" s="209"/>
      <c r="H937" s="209"/>
      <c r="I937" s="209"/>
      <c r="J937" s="209"/>
      <c r="K937" s="209"/>
      <c r="L937" s="209"/>
      <c r="M937" s="207"/>
      <c r="N937" s="209"/>
      <c r="O937" s="209"/>
      <c r="P937" s="209"/>
      <c r="Q937" s="209"/>
      <c r="R937" s="209"/>
      <c r="S937" s="210"/>
    </row>
    <row r="938" spans="1:19" s="14" customFormat="1" ht="57" x14ac:dyDescent="0.7">
      <c r="A938" s="248"/>
      <c r="B938" s="214"/>
      <c r="C938" s="207"/>
      <c r="D938" s="232"/>
      <c r="E938" s="232"/>
      <c r="F938" s="209"/>
      <c r="G938" s="209"/>
      <c r="H938" s="209"/>
      <c r="I938" s="209"/>
      <c r="J938" s="209"/>
      <c r="K938" s="209"/>
      <c r="L938" s="209"/>
      <c r="M938" s="207"/>
      <c r="N938" s="209"/>
      <c r="O938" s="209"/>
      <c r="P938" s="209"/>
      <c r="Q938" s="209"/>
      <c r="R938" s="209"/>
      <c r="S938" s="210"/>
    </row>
    <row r="939" spans="1:19" s="14" customFormat="1" ht="57" x14ac:dyDescent="0.7">
      <c r="A939" s="248"/>
      <c r="B939" s="214"/>
      <c r="C939" s="207"/>
      <c r="D939" s="232"/>
      <c r="E939" s="232"/>
      <c r="F939" s="209"/>
      <c r="G939" s="209"/>
      <c r="H939" s="209"/>
      <c r="I939" s="209"/>
      <c r="J939" s="209"/>
      <c r="K939" s="209"/>
      <c r="L939" s="209"/>
      <c r="M939" s="207"/>
      <c r="N939" s="209"/>
      <c r="O939" s="209"/>
      <c r="P939" s="209"/>
      <c r="Q939" s="209"/>
      <c r="R939" s="209"/>
      <c r="S939" s="210"/>
    </row>
    <row r="940" spans="1:19" s="14" customFormat="1" ht="57" x14ac:dyDescent="0.7">
      <c r="A940" s="248"/>
      <c r="B940" s="214"/>
      <c r="C940" s="207"/>
      <c r="D940" s="232"/>
      <c r="E940" s="232"/>
      <c r="F940" s="209"/>
      <c r="G940" s="209"/>
      <c r="H940" s="209"/>
      <c r="I940" s="209"/>
      <c r="J940" s="209"/>
      <c r="K940" s="209"/>
      <c r="L940" s="209"/>
      <c r="M940" s="207"/>
      <c r="N940" s="209"/>
      <c r="O940" s="209"/>
      <c r="P940" s="209"/>
      <c r="Q940" s="209"/>
      <c r="R940" s="209"/>
      <c r="S940" s="210"/>
    </row>
    <row r="941" spans="1:19" s="14" customFormat="1" ht="57" x14ac:dyDescent="0.7">
      <c r="A941" s="248"/>
      <c r="B941" s="214"/>
      <c r="C941" s="207"/>
      <c r="D941" s="232"/>
      <c r="E941" s="232"/>
      <c r="F941" s="209"/>
      <c r="G941" s="209"/>
      <c r="H941" s="209"/>
      <c r="I941" s="209"/>
      <c r="J941" s="209"/>
      <c r="K941" s="209"/>
      <c r="L941" s="209"/>
      <c r="M941" s="207"/>
      <c r="N941" s="209"/>
      <c r="O941" s="209"/>
      <c r="P941" s="209"/>
      <c r="Q941" s="209"/>
      <c r="R941" s="209"/>
      <c r="S941" s="210"/>
    </row>
    <row r="942" spans="1:19" s="14" customFormat="1" ht="57" x14ac:dyDescent="0.7">
      <c r="A942" s="248"/>
      <c r="B942" s="214"/>
      <c r="C942" s="207"/>
      <c r="D942" s="232"/>
      <c r="E942" s="232"/>
      <c r="F942" s="209"/>
      <c r="G942" s="209"/>
      <c r="H942" s="209"/>
      <c r="I942" s="209"/>
      <c r="J942" s="209"/>
      <c r="K942" s="209"/>
      <c r="L942" s="209"/>
      <c r="M942" s="207"/>
      <c r="N942" s="209"/>
      <c r="O942" s="209"/>
      <c r="P942" s="209"/>
      <c r="Q942" s="209"/>
      <c r="R942" s="209"/>
      <c r="S942" s="210"/>
    </row>
    <row r="943" spans="1:19" s="14" customFormat="1" ht="57" x14ac:dyDescent="0.7">
      <c r="A943" s="248"/>
      <c r="B943" s="214"/>
      <c r="C943" s="207"/>
      <c r="D943" s="232"/>
      <c r="E943" s="232"/>
      <c r="F943" s="209"/>
      <c r="G943" s="209"/>
      <c r="H943" s="209"/>
      <c r="I943" s="209"/>
      <c r="J943" s="209"/>
      <c r="K943" s="209"/>
      <c r="L943" s="209"/>
      <c r="M943" s="207"/>
      <c r="N943" s="209"/>
      <c r="O943" s="209"/>
      <c r="P943" s="209"/>
      <c r="Q943" s="209"/>
      <c r="R943" s="209"/>
      <c r="S943" s="210"/>
    </row>
    <row r="944" spans="1:19" s="14" customFormat="1" ht="57" x14ac:dyDescent="0.7">
      <c r="A944" s="248"/>
      <c r="B944" s="214"/>
      <c r="C944" s="207"/>
      <c r="D944" s="232"/>
      <c r="E944" s="232"/>
      <c r="F944" s="209"/>
      <c r="G944" s="209"/>
      <c r="H944" s="209"/>
      <c r="I944" s="209"/>
      <c r="J944" s="209"/>
      <c r="K944" s="209"/>
      <c r="L944" s="209"/>
      <c r="M944" s="207"/>
      <c r="N944" s="209"/>
      <c r="O944" s="209"/>
      <c r="P944" s="209"/>
      <c r="Q944" s="209"/>
      <c r="R944" s="209"/>
      <c r="S944" s="210"/>
    </row>
    <row r="945" spans="1:19" s="14" customFormat="1" ht="57" x14ac:dyDescent="0.7">
      <c r="A945" s="248"/>
      <c r="B945" s="214"/>
      <c r="C945" s="207"/>
      <c r="D945" s="232"/>
      <c r="E945" s="232"/>
      <c r="F945" s="209"/>
      <c r="G945" s="209"/>
      <c r="H945" s="209"/>
      <c r="I945" s="209"/>
      <c r="J945" s="209"/>
      <c r="K945" s="209"/>
      <c r="L945" s="209"/>
      <c r="M945" s="207"/>
      <c r="N945" s="209"/>
      <c r="O945" s="209"/>
      <c r="P945" s="209"/>
      <c r="Q945" s="209"/>
      <c r="R945" s="209"/>
      <c r="S945" s="210"/>
    </row>
    <row r="946" spans="1:19" s="14" customFormat="1" ht="57" x14ac:dyDescent="0.7">
      <c r="A946" s="248"/>
      <c r="B946" s="214"/>
      <c r="C946" s="207"/>
      <c r="D946" s="232"/>
      <c r="E946" s="232"/>
      <c r="F946" s="209"/>
      <c r="G946" s="209"/>
      <c r="H946" s="209"/>
      <c r="I946" s="209"/>
      <c r="J946" s="209"/>
      <c r="K946" s="209"/>
      <c r="L946" s="209"/>
      <c r="M946" s="207"/>
      <c r="N946" s="209"/>
      <c r="O946" s="209"/>
      <c r="P946" s="209"/>
      <c r="Q946" s="209"/>
      <c r="R946" s="209"/>
      <c r="S946" s="210"/>
    </row>
    <row r="947" spans="1:19" s="14" customFormat="1" ht="57" x14ac:dyDescent="0.7">
      <c r="A947" s="248"/>
      <c r="B947" s="214"/>
      <c r="C947" s="207"/>
      <c r="D947" s="232"/>
      <c r="E947" s="232"/>
      <c r="F947" s="209"/>
      <c r="G947" s="209"/>
      <c r="H947" s="209"/>
      <c r="I947" s="209"/>
      <c r="J947" s="209"/>
      <c r="K947" s="209"/>
      <c r="L947" s="209"/>
      <c r="M947" s="207"/>
      <c r="N947" s="209"/>
      <c r="O947" s="209"/>
      <c r="P947" s="209"/>
      <c r="Q947" s="209"/>
      <c r="R947" s="209"/>
      <c r="S947" s="210"/>
    </row>
    <row r="948" spans="1:19" s="14" customFormat="1" ht="57" x14ac:dyDescent="0.7">
      <c r="A948" s="248"/>
      <c r="B948" s="214"/>
      <c r="C948" s="207"/>
      <c r="D948" s="232"/>
      <c r="E948" s="232"/>
      <c r="F948" s="209"/>
      <c r="G948" s="209"/>
      <c r="H948" s="209"/>
      <c r="I948" s="209"/>
      <c r="J948" s="209"/>
      <c r="K948" s="209"/>
      <c r="L948" s="209"/>
      <c r="M948" s="207"/>
      <c r="N948" s="209"/>
      <c r="O948" s="209"/>
      <c r="P948" s="209"/>
      <c r="Q948" s="209"/>
      <c r="R948" s="209"/>
      <c r="S948" s="210"/>
    </row>
    <row r="949" spans="1:19" s="14" customFormat="1" ht="57" x14ac:dyDescent="0.7">
      <c r="A949" s="248"/>
      <c r="B949" s="214"/>
      <c r="C949" s="207"/>
      <c r="D949" s="232"/>
      <c r="E949" s="232"/>
      <c r="F949" s="209"/>
      <c r="G949" s="209"/>
      <c r="H949" s="209"/>
      <c r="I949" s="209"/>
      <c r="J949" s="209"/>
      <c r="K949" s="209"/>
      <c r="L949" s="209"/>
      <c r="M949" s="207"/>
      <c r="N949" s="209"/>
      <c r="O949" s="209"/>
      <c r="P949" s="209"/>
      <c r="Q949" s="209"/>
      <c r="R949" s="209"/>
      <c r="S949" s="210"/>
    </row>
    <row r="950" spans="1:19" s="14" customFormat="1" ht="57" x14ac:dyDescent="0.7">
      <c r="A950" s="248"/>
      <c r="B950" s="214"/>
      <c r="C950" s="207"/>
      <c r="D950" s="232"/>
      <c r="E950" s="232"/>
      <c r="F950" s="209"/>
      <c r="G950" s="209"/>
      <c r="H950" s="209"/>
      <c r="I950" s="209"/>
      <c r="J950" s="209"/>
      <c r="K950" s="209"/>
      <c r="L950" s="209"/>
      <c r="M950" s="207"/>
      <c r="N950" s="209"/>
      <c r="O950" s="209"/>
      <c r="P950" s="209"/>
      <c r="Q950" s="209"/>
      <c r="R950" s="209"/>
      <c r="S950" s="210"/>
    </row>
    <row r="951" spans="1:19" s="14" customFormat="1" ht="57" x14ac:dyDescent="0.7">
      <c r="A951" s="248"/>
      <c r="B951" s="214"/>
      <c r="C951" s="207"/>
      <c r="D951" s="232"/>
      <c r="E951" s="232"/>
      <c r="F951" s="209"/>
      <c r="G951" s="209"/>
      <c r="H951" s="209"/>
      <c r="I951" s="209"/>
      <c r="J951" s="209"/>
      <c r="K951" s="209"/>
      <c r="L951" s="209"/>
      <c r="M951" s="207"/>
      <c r="N951" s="209"/>
      <c r="O951" s="209"/>
      <c r="P951" s="209"/>
      <c r="Q951" s="209"/>
      <c r="R951" s="209"/>
      <c r="S951" s="210"/>
    </row>
    <row r="952" spans="1:19" s="14" customFormat="1" ht="57" x14ac:dyDescent="0.7">
      <c r="A952" s="248"/>
      <c r="B952" s="214"/>
      <c r="C952" s="207"/>
      <c r="D952" s="232"/>
      <c r="E952" s="232"/>
      <c r="F952" s="209"/>
      <c r="G952" s="209"/>
      <c r="H952" s="209"/>
      <c r="I952" s="209"/>
      <c r="J952" s="209"/>
      <c r="K952" s="209"/>
      <c r="L952" s="209"/>
      <c r="M952" s="207"/>
      <c r="N952" s="209"/>
      <c r="O952" s="209"/>
      <c r="P952" s="209"/>
      <c r="Q952" s="209"/>
      <c r="R952" s="209"/>
      <c r="S952" s="210"/>
    </row>
    <row r="953" spans="1:19" s="14" customFormat="1" ht="57" x14ac:dyDescent="0.7">
      <c r="A953" s="248"/>
      <c r="B953" s="214"/>
      <c r="C953" s="207"/>
      <c r="D953" s="232"/>
      <c r="E953" s="232"/>
      <c r="F953" s="209"/>
      <c r="G953" s="209"/>
      <c r="H953" s="209"/>
      <c r="I953" s="209"/>
      <c r="J953" s="209"/>
      <c r="K953" s="209"/>
      <c r="L953" s="209"/>
      <c r="M953" s="207"/>
      <c r="N953" s="209"/>
      <c r="O953" s="209"/>
      <c r="P953" s="209"/>
      <c r="Q953" s="209"/>
      <c r="R953" s="209"/>
      <c r="S953" s="210"/>
    </row>
    <row r="954" spans="1:19" s="14" customFormat="1" ht="57" x14ac:dyDescent="0.7">
      <c r="A954" s="248"/>
      <c r="B954" s="214"/>
      <c r="C954" s="207"/>
      <c r="D954" s="232"/>
      <c r="E954" s="232"/>
      <c r="F954" s="209"/>
      <c r="G954" s="209"/>
      <c r="H954" s="209"/>
      <c r="I954" s="209"/>
      <c r="J954" s="209"/>
      <c r="K954" s="209"/>
      <c r="L954" s="209"/>
      <c r="M954" s="207"/>
      <c r="N954" s="209"/>
      <c r="O954" s="209"/>
      <c r="P954" s="209"/>
      <c r="Q954" s="209"/>
      <c r="R954" s="209"/>
      <c r="S954" s="210"/>
    </row>
    <row r="955" spans="1:19" s="14" customFormat="1" ht="57" x14ac:dyDescent="0.7">
      <c r="A955" s="248"/>
      <c r="B955" s="214"/>
      <c r="C955" s="207"/>
      <c r="D955" s="232"/>
      <c r="E955" s="232"/>
      <c r="F955" s="209"/>
      <c r="G955" s="209"/>
      <c r="H955" s="209"/>
      <c r="I955" s="209"/>
      <c r="J955" s="209"/>
      <c r="K955" s="209"/>
      <c r="L955" s="209"/>
      <c r="M955" s="207"/>
      <c r="N955" s="209"/>
      <c r="O955" s="209"/>
      <c r="P955" s="209"/>
      <c r="Q955" s="209"/>
      <c r="R955" s="209"/>
      <c r="S955" s="210"/>
    </row>
    <row r="956" spans="1:19" s="14" customFormat="1" ht="57" x14ac:dyDescent="0.7">
      <c r="A956" s="248"/>
      <c r="B956" s="214"/>
      <c r="C956" s="207"/>
      <c r="D956" s="232"/>
      <c r="E956" s="232"/>
      <c r="F956" s="209"/>
      <c r="G956" s="209"/>
      <c r="H956" s="209"/>
      <c r="I956" s="209"/>
      <c r="J956" s="209"/>
      <c r="K956" s="209"/>
      <c r="L956" s="209"/>
      <c r="M956" s="207"/>
      <c r="N956" s="209"/>
      <c r="O956" s="209"/>
      <c r="P956" s="209"/>
      <c r="Q956" s="209"/>
      <c r="R956" s="209"/>
      <c r="S956" s="210"/>
    </row>
    <row r="957" spans="1:19" s="14" customFormat="1" ht="57" x14ac:dyDescent="0.7">
      <c r="A957" s="248"/>
      <c r="B957" s="214"/>
      <c r="C957" s="207"/>
      <c r="D957" s="232"/>
      <c r="E957" s="232"/>
      <c r="F957" s="209"/>
      <c r="G957" s="209"/>
      <c r="H957" s="209"/>
      <c r="I957" s="209"/>
      <c r="J957" s="209"/>
      <c r="K957" s="209"/>
      <c r="L957" s="209"/>
      <c r="M957" s="207"/>
      <c r="N957" s="209"/>
      <c r="O957" s="209"/>
      <c r="P957" s="209"/>
      <c r="Q957" s="209"/>
      <c r="R957" s="209"/>
      <c r="S957" s="210"/>
    </row>
    <row r="958" spans="1:19" s="14" customFormat="1" ht="57" x14ac:dyDescent="0.7">
      <c r="A958" s="248"/>
      <c r="B958" s="214"/>
      <c r="C958" s="207"/>
      <c r="D958" s="232"/>
      <c r="E958" s="232"/>
      <c r="F958" s="209"/>
      <c r="G958" s="209"/>
      <c r="H958" s="209"/>
      <c r="I958" s="209"/>
      <c r="J958" s="209"/>
      <c r="K958" s="209"/>
      <c r="L958" s="209"/>
      <c r="M958" s="207"/>
      <c r="N958" s="209"/>
      <c r="O958" s="209"/>
      <c r="P958" s="209"/>
      <c r="Q958" s="209"/>
      <c r="R958" s="209"/>
      <c r="S958" s="210"/>
    </row>
    <row r="959" spans="1:19" s="14" customFormat="1" ht="57" x14ac:dyDescent="0.7">
      <c r="A959" s="248"/>
      <c r="B959" s="214"/>
      <c r="C959" s="207"/>
      <c r="D959" s="232"/>
      <c r="E959" s="232"/>
      <c r="F959" s="209"/>
      <c r="G959" s="209"/>
      <c r="H959" s="209"/>
      <c r="I959" s="209"/>
      <c r="J959" s="209"/>
      <c r="K959" s="209"/>
      <c r="L959" s="209"/>
      <c r="M959" s="207"/>
      <c r="N959" s="209"/>
      <c r="O959" s="209"/>
      <c r="P959" s="209"/>
      <c r="Q959" s="209"/>
      <c r="R959" s="209"/>
      <c r="S959" s="210"/>
    </row>
    <row r="960" spans="1:19" s="14" customFormat="1" ht="57" x14ac:dyDescent="0.7">
      <c r="A960" s="248"/>
      <c r="B960" s="214"/>
      <c r="C960" s="207"/>
      <c r="D960" s="232"/>
      <c r="E960" s="232"/>
      <c r="F960" s="209"/>
      <c r="G960" s="209"/>
      <c r="H960" s="209"/>
      <c r="I960" s="209"/>
      <c r="J960" s="209"/>
      <c r="K960" s="209"/>
      <c r="L960" s="209"/>
      <c r="M960" s="207"/>
      <c r="N960" s="209"/>
      <c r="O960" s="209"/>
      <c r="P960" s="209"/>
      <c r="Q960" s="209"/>
      <c r="R960" s="209"/>
      <c r="S960" s="210"/>
    </row>
    <row r="961" spans="1:19" s="14" customFormat="1" ht="57" x14ac:dyDescent="0.7">
      <c r="A961" s="248"/>
      <c r="B961" s="214"/>
      <c r="C961" s="207"/>
      <c r="D961" s="232"/>
      <c r="E961" s="232"/>
      <c r="F961" s="209"/>
      <c r="G961" s="209"/>
      <c r="H961" s="209"/>
      <c r="I961" s="209"/>
      <c r="J961" s="209"/>
      <c r="K961" s="209"/>
      <c r="L961" s="209"/>
      <c r="M961" s="207"/>
      <c r="N961" s="209"/>
      <c r="O961" s="209"/>
      <c r="P961" s="209"/>
      <c r="Q961" s="209"/>
      <c r="R961" s="209"/>
      <c r="S961" s="210"/>
    </row>
    <row r="962" spans="1:19" s="14" customFormat="1" ht="57" x14ac:dyDescent="0.7">
      <c r="A962" s="248"/>
      <c r="B962" s="214"/>
      <c r="C962" s="207"/>
      <c r="D962" s="232"/>
      <c r="E962" s="232"/>
      <c r="F962" s="209"/>
      <c r="G962" s="209"/>
      <c r="H962" s="209"/>
      <c r="I962" s="209"/>
      <c r="J962" s="209"/>
      <c r="K962" s="209"/>
      <c r="L962" s="209"/>
      <c r="M962" s="207"/>
      <c r="N962" s="209"/>
      <c r="O962" s="209"/>
      <c r="P962" s="209"/>
      <c r="Q962" s="209"/>
      <c r="R962" s="209"/>
      <c r="S962" s="210"/>
    </row>
    <row r="963" spans="1:19" s="14" customFormat="1" ht="57" x14ac:dyDescent="0.7">
      <c r="A963" s="248"/>
      <c r="B963" s="214"/>
      <c r="C963" s="207"/>
      <c r="D963" s="232"/>
      <c r="E963" s="232"/>
      <c r="F963" s="209"/>
      <c r="G963" s="209"/>
      <c r="H963" s="209"/>
      <c r="I963" s="209"/>
      <c r="J963" s="209"/>
      <c r="K963" s="209"/>
      <c r="L963" s="209"/>
      <c r="M963" s="207"/>
      <c r="N963" s="209"/>
      <c r="O963" s="209"/>
      <c r="P963" s="209"/>
      <c r="Q963" s="209"/>
      <c r="R963" s="209"/>
      <c r="S963" s="210"/>
    </row>
    <row r="964" spans="1:19" s="14" customFormat="1" ht="57" x14ac:dyDescent="0.7">
      <c r="A964" s="248"/>
      <c r="B964" s="214"/>
      <c r="C964" s="207"/>
      <c r="D964" s="232"/>
      <c r="E964" s="232"/>
      <c r="F964" s="209"/>
      <c r="G964" s="209"/>
      <c r="H964" s="209"/>
      <c r="I964" s="209"/>
      <c r="J964" s="209"/>
      <c r="K964" s="209"/>
      <c r="L964" s="209"/>
      <c r="M964" s="207"/>
      <c r="N964" s="209"/>
      <c r="O964" s="209"/>
      <c r="P964" s="209"/>
      <c r="Q964" s="209"/>
      <c r="R964" s="209"/>
      <c r="S964" s="210"/>
    </row>
    <row r="965" spans="1:19" s="14" customFormat="1" ht="57" x14ac:dyDescent="0.7">
      <c r="A965" s="248"/>
      <c r="B965" s="214"/>
      <c r="C965" s="207"/>
      <c r="D965" s="232"/>
      <c r="E965" s="232"/>
      <c r="F965" s="209"/>
      <c r="G965" s="209"/>
      <c r="H965" s="209"/>
      <c r="I965" s="209"/>
      <c r="J965" s="209"/>
      <c r="K965" s="209"/>
      <c r="L965" s="209"/>
      <c r="M965" s="207"/>
      <c r="N965" s="209"/>
      <c r="O965" s="209"/>
      <c r="P965" s="209"/>
      <c r="Q965" s="209"/>
      <c r="R965" s="209"/>
      <c r="S965" s="210"/>
    </row>
    <row r="966" spans="1:19" s="14" customFormat="1" ht="57" x14ac:dyDescent="0.7">
      <c r="A966" s="248"/>
      <c r="B966" s="214"/>
      <c r="C966" s="207"/>
      <c r="D966" s="232"/>
      <c r="E966" s="232"/>
      <c r="F966" s="209"/>
      <c r="G966" s="209"/>
      <c r="H966" s="209"/>
      <c r="I966" s="209"/>
      <c r="J966" s="209"/>
      <c r="K966" s="209"/>
      <c r="L966" s="209"/>
      <c r="M966" s="207"/>
      <c r="N966" s="209"/>
      <c r="O966" s="209"/>
      <c r="P966" s="209"/>
      <c r="Q966" s="209"/>
      <c r="R966" s="209"/>
      <c r="S966" s="210"/>
    </row>
    <row r="967" spans="1:19" s="14" customFormat="1" ht="57" x14ac:dyDescent="0.7">
      <c r="A967" s="248"/>
      <c r="B967" s="214"/>
      <c r="C967" s="207"/>
      <c r="D967" s="232"/>
      <c r="E967" s="232"/>
      <c r="F967" s="209"/>
      <c r="G967" s="209"/>
      <c r="H967" s="209"/>
      <c r="I967" s="209"/>
      <c r="J967" s="209"/>
      <c r="K967" s="209"/>
      <c r="L967" s="209"/>
      <c r="M967" s="207"/>
      <c r="N967" s="209"/>
      <c r="O967" s="209"/>
      <c r="P967" s="209"/>
      <c r="Q967" s="209"/>
      <c r="R967" s="209"/>
      <c r="S967" s="210"/>
    </row>
    <row r="968" spans="1:19" s="14" customFormat="1" ht="57" x14ac:dyDescent="0.7">
      <c r="A968" s="248"/>
      <c r="B968" s="214"/>
      <c r="C968" s="207"/>
      <c r="D968" s="232"/>
      <c r="E968" s="232"/>
      <c r="F968" s="209"/>
      <c r="G968" s="209"/>
      <c r="H968" s="209"/>
      <c r="I968" s="209"/>
      <c r="J968" s="209"/>
      <c r="K968" s="209"/>
      <c r="L968" s="209"/>
      <c r="M968" s="207"/>
      <c r="N968" s="209"/>
      <c r="O968" s="209"/>
      <c r="P968" s="209"/>
      <c r="Q968" s="209"/>
      <c r="R968" s="209"/>
      <c r="S968" s="210"/>
    </row>
    <row r="969" spans="1:19" s="14" customFormat="1" ht="57" x14ac:dyDescent="0.7">
      <c r="A969" s="248"/>
      <c r="B969" s="214"/>
      <c r="C969" s="207"/>
      <c r="D969" s="232"/>
      <c r="E969" s="232"/>
      <c r="F969" s="209"/>
      <c r="G969" s="209"/>
      <c r="H969" s="209"/>
      <c r="I969" s="209"/>
      <c r="J969" s="209"/>
      <c r="K969" s="209"/>
      <c r="L969" s="209"/>
      <c r="M969" s="207"/>
      <c r="N969" s="209"/>
      <c r="O969" s="209"/>
      <c r="P969" s="209"/>
      <c r="Q969" s="209"/>
      <c r="R969" s="209"/>
      <c r="S969" s="210"/>
    </row>
    <row r="970" spans="1:19" s="14" customFormat="1" ht="57" x14ac:dyDescent="0.7">
      <c r="A970" s="248"/>
      <c r="B970" s="214"/>
      <c r="C970" s="207"/>
      <c r="D970" s="232"/>
      <c r="E970" s="232"/>
      <c r="F970" s="209"/>
      <c r="G970" s="209"/>
      <c r="H970" s="209"/>
      <c r="I970" s="209"/>
      <c r="J970" s="209"/>
      <c r="K970" s="209"/>
      <c r="L970" s="209"/>
      <c r="M970" s="207"/>
      <c r="N970" s="209"/>
      <c r="O970" s="209"/>
      <c r="P970" s="209"/>
      <c r="Q970" s="209"/>
      <c r="R970" s="209"/>
      <c r="S970" s="210"/>
    </row>
    <row r="971" spans="1:19" s="14" customFormat="1" ht="57" x14ac:dyDescent="0.7">
      <c r="A971" s="248"/>
      <c r="B971" s="214"/>
      <c r="C971" s="207"/>
      <c r="D971" s="232"/>
      <c r="E971" s="232"/>
      <c r="F971" s="209"/>
      <c r="G971" s="209"/>
      <c r="H971" s="209"/>
      <c r="I971" s="209"/>
      <c r="J971" s="209"/>
      <c r="K971" s="209"/>
      <c r="L971" s="209"/>
      <c r="M971" s="207"/>
      <c r="N971" s="209"/>
      <c r="O971" s="209"/>
      <c r="P971" s="209"/>
      <c r="Q971" s="209"/>
      <c r="R971" s="209"/>
      <c r="S971" s="210"/>
    </row>
    <row r="972" spans="1:19" s="14" customFormat="1" ht="57" x14ac:dyDescent="0.7">
      <c r="A972" s="248"/>
      <c r="B972" s="214"/>
      <c r="C972" s="207"/>
      <c r="D972" s="232"/>
      <c r="E972" s="232"/>
      <c r="F972" s="209"/>
      <c r="G972" s="209"/>
      <c r="H972" s="209"/>
      <c r="I972" s="209"/>
      <c r="J972" s="209"/>
      <c r="K972" s="209"/>
      <c r="L972" s="209"/>
      <c r="M972" s="207"/>
      <c r="N972" s="209"/>
      <c r="O972" s="209"/>
      <c r="P972" s="209"/>
      <c r="Q972" s="209"/>
      <c r="R972" s="209"/>
      <c r="S972" s="210"/>
    </row>
    <row r="973" spans="1:19" s="14" customFormat="1" ht="57" x14ac:dyDescent="0.7">
      <c r="A973" s="248"/>
      <c r="B973" s="214"/>
      <c r="C973" s="207"/>
      <c r="D973" s="232"/>
      <c r="E973" s="232"/>
      <c r="F973" s="209"/>
      <c r="G973" s="209"/>
      <c r="H973" s="209"/>
      <c r="I973" s="209"/>
      <c r="J973" s="209"/>
      <c r="K973" s="209"/>
      <c r="L973" s="209"/>
      <c r="M973" s="207"/>
      <c r="N973" s="209"/>
      <c r="O973" s="209"/>
      <c r="P973" s="209"/>
      <c r="Q973" s="209"/>
      <c r="R973" s="209"/>
      <c r="S973" s="210"/>
    </row>
    <row r="974" spans="1:19" s="14" customFormat="1" ht="57" x14ac:dyDescent="0.7">
      <c r="A974" s="248"/>
      <c r="B974" s="214"/>
      <c r="C974" s="207"/>
      <c r="D974" s="232"/>
      <c r="E974" s="232"/>
      <c r="F974" s="209"/>
      <c r="G974" s="209"/>
      <c r="H974" s="209"/>
      <c r="I974" s="209"/>
      <c r="J974" s="209"/>
      <c r="K974" s="209"/>
      <c r="L974" s="209"/>
      <c r="M974" s="207"/>
      <c r="N974" s="209"/>
      <c r="O974" s="209"/>
      <c r="P974" s="209"/>
      <c r="Q974" s="209"/>
      <c r="R974" s="209"/>
      <c r="S974" s="210"/>
    </row>
    <row r="975" spans="1:19" s="14" customFormat="1" ht="57" x14ac:dyDescent="0.7">
      <c r="A975" s="248"/>
      <c r="B975" s="214"/>
      <c r="C975" s="207"/>
      <c r="D975" s="232"/>
      <c r="E975" s="232"/>
      <c r="F975" s="209"/>
      <c r="G975" s="209"/>
      <c r="H975" s="209"/>
      <c r="I975" s="209"/>
      <c r="J975" s="209"/>
      <c r="K975" s="209"/>
      <c r="L975" s="209"/>
      <c r="M975" s="207"/>
      <c r="N975" s="209"/>
      <c r="O975" s="209"/>
      <c r="P975" s="209"/>
      <c r="Q975" s="209"/>
      <c r="R975" s="209"/>
      <c r="S975" s="210"/>
    </row>
    <row r="976" spans="1:19" s="14" customFormat="1" ht="57" x14ac:dyDescent="0.7">
      <c r="A976" s="248"/>
      <c r="B976" s="214"/>
      <c r="C976" s="207"/>
      <c r="D976" s="232"/>
      <c r="E976" s="232"/>
      <c r="F976" s="209"/>
      <c r="G976" s="209"/>
      <c r="H976" s="209"/>
      <c r="I976" s="209"/>
      <c r="J976" s="209"/>
      <c r="K976" s="209"/>
      <c r="L976" s="209"/>
      <c r="M976" s="207"/>
      <c r="N976" s="209"/>
      <c r="O976" s="209"/>
      <c r="P976" s="209"/>
      <c r="Q976" s="209"/>
      <c r="R976" s="209"/>
      <c r="S976" s="210"/>
    </row>
    <row r="977" spans="1:19" s="14" customFormat="1" ht="57" x14ac:dyDescent="0.7">
      <c r="A977" s="248"/>
      <c r="B977" s="214"/>
      <c r="C977" s="207"/>
      <c r="D977" s="232"/>
      <c r="E977" s="232"/>
      <c r="F977" s="209"/>
      <c r="G977" s="209"/>
      <c r="H977" s="209"/>
      <c r="I977" s="209"/>
      <c r="J977" s="209"/>
      <c r="K977" s="209"/>
      <c r="L977" s="209"/>
      <c r="M977" s="207"/>
      <c r="N977" s="209"/>
      <c r="O977" s="209"/>
      <c r="P977" s="209"/>
      <c r="Q977" s="209"/>
      <c r="R977" s="209"/>
      <c r="S977" s="210"/>
    </row>
    <row r="978" spans="1:19" s="14" customFormat="1" ht="57" x14ac:dyDescent="0.7">
      <c r="A978" s="248"/>
      <c r="B978" s="214"/>
      <c r="C978" s="207"/>
      <c r="D978" s="232"/>
      <c r="E978" s="232"/>
      <c r="F978" s="209"/>
      <c r="G978" s="209"/>
      <c r="H978" s="209"/>
      <c r="I978" s="209"/>
      <c r="J978" s="209"/>
      <c r="K978" s="209"/>
      <c r="L978" s="209"/>
      <c r="M978" s="207"/>
      <c r="N978" s="209"/>
      <c r="O978" s="209"/>
      <c r="P978" s="209"/>
      <c r="Q978" s="209"/>
      <c r="R978" s="209"/>
      <c r="S978" s="210"/>
    </row>
    <row r="979" spans="1:19" s="14" customFormat="1" ht="57" x14ac:dyDescent="0.7">
      <c r="A979" s="248"/>
      <c r="B979" s="214"/>
      <c r="C979" s="207"/>
      <c r="D979" s="232"/>
      <c r="E979" s="232"/>
      <c r="F979" s="209"/>
      <c r="G979" s="209"/>
      <c r="H979" s="209"/>
      <c r="I979" s="209"/>
      <c r="J979" s="209"/>
      <c r="K979" s="209"/>
      <c r="L979" s="209"/>
      <c r="M979" s="207"/>
      <c r="N979" s="209"/>
      <c r="O979" s="209"/>
      <c r="P979" s="209"/>
      <c r="Q979" s="209"/>
      <c r="R979" s="209"/>
      <c r="S979" s="210"/>
    </row>
    <row r="980" spans="1:19" s="14" customFormat="1" ht="57" x14ac:dyDescent="0.7">
      <c r="A980" s="248"/>
      <c r="B980" s="214"/>
      <c r="C980" s="207"/>
      <c r="D980" s="232"/>
      <c r="E980" s="232"/>
      <c r="F980" s="209"/>
      <c r="G980" s="209"/>
      <c r="H980" s="209"/>
      <c r="I980" s="209"/>
      <c r="J980" s="209"/>
      <c r="K980" s="209"/>
      <c r="L980" s="209"/>
      <c r="M980" s="207"/>
      <c r="N980" s="209"/>
      <c r="O980" s="209"/>
      <c r="P980" s="209"/>
      <c r="Q980" s="209"/>
      <c r="R980" s="209"/>
      <c r="S980" s="210"/>
    </row>
    <row r="981" spans="1:19" s="14" customFormat="1" ht="57" x14ac:dyDescent="0.7">
      <c r="A981" s="248"/>
      <c r="B981" s="214"/>
      <c r="C981" s="207"/>
      <c r="D981" s="232"/>
      <c r="E981" s="232"/>
      <c r="F981" s="209"/>
      <c r="G981" s="209"/>
      <c r="H981" s="209"/>
      <c r="I981" s="209"/>
      <c r="J981" s="209"/>
      <c r="K981" s="209"/>
      <c r="L981" s="209"/>
      <c r="M981" s="207"/>
      <c r="N981" s="209"/>
      <c r="O981" s="209"/>
      <c r="P981" s="209"/>
      <c r="Q981" s="209"/>
      <c r="R981" s="209"/>
      <c r="S981" s="210"/>
    </row>
    <row r="982" spans="1:19" s="14" customFormat="1" ht="57" x14ac:dyDescent="0.7">
      <c r="A982" s="248"/>
      <c r="B982" s="214"/>
      <c r="C982" s="207"/>
      <c r="D982" s="232"/>
      <c r="E982" s="232"/>
      <c r="F982" s="209"/>
      <c r="G982" s="209"/>
      <c r="H982" s="209"/>
      <c r="I982" s="209"/>
      <c r="J982" s="209"/>
      <c r="K982" s="209"/>
      <c r="L982" s="209"/>
      <c r="M982" s="207"/>
      <c r="N982" s="209"/>
      <c r="O982" s="209"/>
      <c r="P982" s="209"/>
      <c r="Q982" s="209"/>
      <c r="R982" s="209"/>
      <c r="S982" s="210"/>
    </row>
    <row r="983" spans="1:19" s="14" customFormat="1" ht="57" x14ac:dyDescent="0.7">
      <c r="A983" s="248"/>
      <c r="B983" s="214"/>
      <c r="C983" s="207"/>
      <c r="D983" s="232"/>
      <c r="E983" s="232"/>
      <c r="F983" s="209"/>
      <c r="G983" s="209"/>
      <c r="H983" s="209"/>
      <c r="I983" s="209"/>
      <c r="J983" s="209"/>
      <c r="K983" s="209"/>
      <c r="L983" s="209"/>
      <c r="M983" s="207"/>
      <c r="N983" s="209"/>
      <c r="O983" s="209"/>
      <c r="P983" s="209"/>
      <c r="Q983" s="209"/>
      <c r="R983" s="209"/>
      <c r="S983" s="210"/>
    </row>
    <row r="984" spans="1:19" s="14" customFormat="1" ht="57" x14ac:dyDescent="0.7">
      <c r="A984" s="248"/>
      <c r="B984" s="214"/>
      <c r="C984" s="207"/>
      <c r="D984" s="232"/>
      <c r="E984" s="232"/>
      <c r="F984" s="209"/>
      <c r="G984" s="209"/>
      <c r="H984" s="209"/>
      <c r="I984" s="209"/>
      <c r="J984" s="209"/>
      <c r="K984" s="209"/>
      <c r="L984" s="209"/>
      <c r="M984" s="207"/>
      <c r="N984" s="209"/>
      <c r="O984" s="209"/>
      <c r="P984" s="209"/>
      <c r="Q984" s="209"/>
      <c r="R984" s="209"/>
      <c r="S984" s="210"/>
    </row>
    <row r="985" spans="1:19" s="14" customFormat="1" ht="57" x14ac:dyDescent="0.7">
      <c r="A985" s="248"/>
      <c r="B985" s="214"/>
      <c r="C985" s="207"/>
      <c r="D985" s="232"/>
      <c r="E985" s="232"/>
      <c r="F985" s="209"/>
      <c r="G985" s="209"/>
      <c r="H985" s="209"/>
      <c r="I985" s="209"/>
      <c r="J985" s="209"/>
      <c r="K985" s="209"/>
      <c r="L985" s="209"/>
      <c r="M985" s="207"/>
      <c r="N985" s="209"/>
      <c r="O985" s="209"/>
      <c r="P985" s="209"/>
      <c r="Q985" s="209"/>
      <c r="R985" s="209"/>
      <c r="S985" s="210"/>
    </row>
    <row r="986" spans="1:19" s="14" customFormat="1" ht="57" x14ac:dyDescent="0.7">
      <c r="A986" s="248"/>
      <c r="B986" s="214"/>
      <c r="C986" s="207"/>
      <c r="D986" s="232"/>
      <c r="E986" s="232"/>
      <c r="F986" s="209"/>
      <c r="G986" s="209"/>
      <c r="H986" s="209"/>
      <c r="I986" s="209"/>
      <c r="J986" s="209"/>
      <c r="K986" s="209"/>
      <c r="L986" s="209"/>
      <c r="M986" s="207"/>
      <c r="N986" s="209"/>
      <c r="O986" s="209"/>
      <c r="P986" s="209"/>
      <c r="Q986" s="209"/>
      <c r="R986" s="209"/>
      <c r="S986" s="210"/>
    </row>
    <row r="987" spans="1:19" s="14" customFormat="1" ht="57" x14ac:dyDescent="0.7">
      <c r="A987" s="248"/>
      <c r="B987" s="214"/>
      <c r="C987" s="207"/>
      <c r="D987" s="232"/>
      <c r="E987" s="232"/>
      <c r="F987" s="209"/>
      <c r="G987" s="209"/>
      <c r="H987" s="209"/>
      <c r="I987" s="209"/>
      <c r="J987" s="209"/>
      <c r="K987" s="209"/>
      <c r="L987" s="209"/>
      <c r="M987" s="207"/>
      <c r="N987" s="209"/>
      <c r="O987" s="209"/>
      <c r="P987" s="209"/>
      <c r="Q987" s="209"/>
      <c r="R987" s="209"/>
      <c r="S987" s="210"/>
    </row>
    <row r="988" spans="1:19" s="14" customFormat="1" ht="57" x14ac:dyDescent="0.7">
      <c r="A988" s="248"/>
      <c r="B988" s="214"/>
      <c r="C988" s="207"/>
      <c r="D988" s="232"/>
      <c r="E988" s="232"/>
      <c r="F988" s="209"/>
      <c r="G988" s="209"/>
      <c r="H988" s="209"/>
      <c r="I988" s="209"/>
      <c r="J988" s="209"/>
      <c r="K988" s="209"/>
      <c r="L988" s="209"/>
      <c r="M988" s="207"/>
      <c r="N988" s="209"/>
      <c r="O988" s="209"/>
      <c r="P988" s="209"/>
      <c r="Q988" s="209"/>
      <c r="R988" s="209"/>
      <c r="S988" s="210"/>
    </row>
    <row r="989" spans="1:19" s="14" customFormat="1" ht="57" x14ac:dyDescent="0.7">
      <c r="A989" s="248"/>
      <c r="B989" s="214"/>
      <c r="C989" s="207"/>
      <c r="D989" s="232"/>
      <c r="E989" s="232"/>
      <c r="F989" s="209"/>
      <c r="G989" s="209"/>
      <c r="H989" s="209"/>
      <c r="I989" s="209"/>
      <c r="J989" s="209"/>
      <c r="K989" s="209"/>
      <c r="L989" s="209"/>
      <c r="M989" s="207"/>
      <c r="N989" s="209"/>
      <c r="O989" s="209"/>
      <c r="P989" s="209"/>
      <c r="Q989" s="209"/>
      <c r="R989" s="209"/>
      <c r="S989" s="210"/>
    </row>
    <row r="990" spans="1:19" s="14" customFormat="1" ht="57" x14ac:dyDescent="0.7">
      <c r="A990" s="248"/>
      <c r="B990" s="214"/>
      <c r="C990" s="207"/>
      <c r="D990" s="232"/>
      <c r="E990" s="232"/>
      <c r="F990" s="209"/>
      <c r="G990" s="209"/>
      <c r="H990" s="209"/>
      <c r="I990" s="209"/>
      <c r="J990" s="209"/>
      <c r="K990" s="209"/>
      <c r="L990" s="209"/>
      <c r="M990" s="207"/>
      <c r="N990" s="209"/>
      <c r="O990" s="209"/>
      <c r="P990" s="209"/>
      <c r="Q990" s="209"/>
      <c r="R990" s="209"/>
      <c r="S990" s="210"/>
    </row>
    <row r="991" spans="1:19" s="14" customFormat="1" ht="57" x14ac:dyDescent="0.7">
      <c r="A991" s="248"/>
      <c r="B991" s="214"/>
      <c r="C991" s="207"/>
      <c r="D991" s="232"/>
      <c r="E991" s="232"/>
      <c r="F991" s="209"/>
      <c r="G991" s="209"/>
      <c r="H991" s="209"/>
      <c r="I991" s="209"/>
      <c r="J991" s="209"/>
      <c r="K991" s="209"/>
      <c r="L991" s="209"/>
      <c r="M991" s="207"/>
      <c r="N991" s="209"/>
      <c r="O991" s="209"/>
      <c r="P991" s="209"/>
      <c r="Q991" s="209"/>
      <c r="R991" s="209"/>
      <c r="S991" s="210"/>
    </row>
    <row r="992" spans="1:19" s="14" customFormat="1" ht="57" x14ac:dyDescent="0.7">
      <c r="A992" s="248"/>
      <c r="B992" s="214"/>
      <c r="C992" s="207"/>
      <c r="D992" s="232"/>
      <c r="E992" s="232"/>
      <c r="F992" s="209"/>
      <c r="G992" s="209"/>
      <c r="H992" s="209"/>
      <c r="I992" s="209"/>
      <c r="J992" s="209"/>
      <c r="K992" s="209"/>
      <c r="L992" s="209"/>
      <c r="M992" s="207"/>
      <c r="N992" s="209"/>
      <c r="O992" s="209"/>
      <c r="P992" s="209"/>
      <c r="Q992" s="209"/>
      <c r="R992" s="209"/>
      <c r="S992" s="210"/>
    </row>
    <row r="993" spans="1:19" s="14" customFormat="1" ht="57" x14ac:dyDescent="0.7">
      <c r="A993" s="248"/>
      <c r="B993" s="214"/>
      <c r="C993" s="207"/>
      <c r="D993" s="232"/>
      <c r="E993" s="232"/>
      <c r="F993" s="209"/>
      <c r="G993" s="209"/>
      <c r="H993" s="209"/>
      <c r="I993" s="209"/>
      <c r="J993" s="209"/>
      <c r="K993" s="209"/>
      <c r="L993" s="209"/>
      <c r="M993" s="207"/>
      <c r="N993" s="209"/>
      <c r="O993" s="209"/>
      <c r="P993" s="209"/>
      <c r="Q993" s="209"/>
      <c r="R993" s="209"/>
      <c r="S993" s="210"/>
    </row>
    <row r="994" spans="1:19" s="14" customFormat="1" ht="57" x14ac:dyDescent="0.7">
      <c r="A994" s="248"/>
      <c r="B994" s="214"/>
      <c r="C994" s="207"/>
      <c r="D994" s="232"/>
      <c r="E994" s="232"/>
      <c r="F994" s="209"/>
      <c r="G994" s="209"/>
      <c r="H994" s="209"/>
      <c r="I994" s="209"/>
      <c r="J994" s="209"/>
      <c r="K994" s="209"/>
      <c r="L994" s="209"/>
      <c r="M994" s="207"/>
      <c r="N994" s="209"/>
      <c r="O994" s="209"/>
      <c r="P994" s="209"/>
      <c r="Q994" s="209"/>
      <c r="R994" s="209"/>
      <c r="S994" s="210"/>
    </row>
    <row r="995" spans="1:19" s="14" customFormat="1" ht="57" x14ac:dyDescent="0.7">
      <c r="A995" s="248"/>
      <c r="B995" s="214"/>
      <c r="C995" s="207"/>
      <c r="D995" s="232"/>
      <c r="E995" s="232"/>
      <c r="F995" s="209"/>
      <c r="G995" s="209"/>
      <c r="H995" s="209"/>
      <c r="I995" s="209"/>
      <c r="J995" s="209"/>
      <c r="K995" s="209"/>
      <c r="L995" s="209"/>
      <c r="M995" s="207"/>
      <c r="N995" s="209"/>
      <c r="O995" s="209"/>
      <c r="P995" s="209"/>
      <c r="Q995" s="209"/>
      <c r="R995" s="209"/>
      <c r="S995" s="210"/>
    </row>
    <row r="996" spans="1:19" s="14" customFormat="1" ht="57" x14ac:dyDescent="0.7">
      <c r="A996" s="248"/>
      <c r="B996" s="214"/>
      <c r="C996" s="207"/>
      <c r="D996" s="232"/>
      <c r="E996" s="232"/>
      <c r="F996" s="209"/>
      <c r="G996" s="209"/>
      <c r="H996" s="209"/>
      <c r="I996" s="209"/>
      <c r="J996" s="209"/>
      <c r="K996" s="209"/>
      <c r="L996" s="209"/>
      <c r="M996" s="207"/>
      <c r="N996" s="209"/>
      <c r="O996" s="209"/>
      <c r="P996" s="209"/>
      <c r="Q996" s="209"/>
      <c r="R996" s="209"/>
      <c r="S996" s="210"/>
    </row>
    <row r="997" spans="1:19" s="14" customFormat="1" ht="57" x14ac:dyDescent="0.7">
      <c r="A997" s="248"/>
      <c r="B997" s="214"/>
      <c r="C997" s="207"/>
      <c r="D997" s="232"/>
      <c r="E997" s="232"/>
      <c r="F997" s="209"/>
      <c r="G997" s="209"/>
      <c r="H997" s="209"/>
      <c r="I997" s="209"/>
      <c r="J997" s="209"/>
      <c r="K997" s="209"/>
      <c r="L997" s="209"/>
      <c r="M997" s="207"/>
      <c r="N997" s="209"/>
      <c r="O997" s="209"/>
      <c r="P997" s="209"/>
      <c r="Q997" s="209"/>
      <c r="R997" s="209"/>
      <c r="S997" s="210"/>
    </row>
    <row r="998" spans="1:19" s="14" customFormat="1" ht="57" x14ac:dyDescent="0.7">
      <c r="A998" s="248"/>
      <c r="B998" s="214"/>
      <c r="C998" s="207"/>
      <c r="D998" s="232"/>
      <c r="E998" s="232"/>
      <c r="F998" s="209"/>
      <c r="G998" s="209"/>
      <c r="H998" s="209"/>
      <c r="I998" s="209"/>
      <c r="J998" s="209"/>
      <c r="K998" s="209"/>
      <c r="L998" s="209"/>
      <c r="M998" s="207"/>
      <c r="N998" s="209"/>
      <c r="O998" s="209"/>
      <c r="P998" s="209"/>
      <c r="Q998" s="209"/>
      <c r="R998" s="209"/>
      <c r="S998" s="210"/>
    </row>
    <row r="999" spans="1:19" s="14" customFormat="1" ht="57" x14ac:dyDescent="0.7">
      <c r="A999" s="248"/>
      <c r="B999" s="214"/>
      <c r="C999" s="207"/>
      <c r="D999" s="232"/>
      <c r="E999" s="232"/>
      <c r="F999" s="209"/>
      <c r="G999" s="209"/>
      <c r="H999" s="209"/>
      <c r="I999" s="209"/>
      <c r="J999" s="209"/>
      <c r="K999" s="209"/>
      <c r="L999" s="209"/>
      <c r="M999" s="207"/>
      <c r="N999" s="209"/>
      <c r="O999" s="209"/>
      <c r="P999" s="209"/>
      <c r="Q999" s="209"/>
      <c r="R999" s="209"/>
      <c r="S999" s="210"/>
    </row>
    <row r="1000" spans="1:19" s="14" customFormat="1" ht="57" x14ac:dyDescent="0.7">
      <c r="A1000" s="248"/>
      <c r="B1000" s="214"/>
      <c r="C1000" s="207"/>
      <c r="D1000" s="232"/>
      <c r="E1000" s="232"/>
      <c r="F1000" s="209"/>
      <c r="G1000" s="209"/>
      <c r="H1000" s="209"/>
      <c r="I1000" s="209"/>
      <c r="J1000" s="209"/>
      <c r="K1000" s="209"/>
      <c r="L1000" s="209"/>
      <c r="M1000" s="207"/>
      <c r="N1000" s="209"/>
      <c r="O1000" s="209"/>
      <c r="P1000" s="209"/>
      <c r="Q1000" s="209"/>
      <c r="R1000" s="209"/>
      <c r="S1000" s="210"/>
    </row>
    <row r="1001" spans="1:19" s="14" customFormat="1" ht="57" x14ac:dyDescent="0.7">
      <c r="A1001" s="248"/>
      <c r="B1001" s="214"/>
      <c r="C1001" s="207"/>
      <c r="D1001" s="232"/>
      <c r="E1001" s="232"/>
      <c r="F1001" s="209"/>
      <c r="G1001" s="209"/>
      <c r="H1001" s="209"/>
      <c r="I1001" s="209"/>
      <c r="J1001" s="209"/>
      <c r="K1001" s="209"/>
      <c r="L1001" s="209"/>
      <c r="M1001" s="207"/>
      <c r="N1001" s="209"/>
      <c r="O1001" s="209"/>
      <c r="P1001" s="209"/>
      <c r="Q1001" s="209"/>
      <c r="R1001" s="209"/>
      <c r="S1001" s="210"/>
    </row>
    <row r="1002" spans="1:19" s="14" customFormat="1" ht="57" x14ac:dyDescent="0.7">
      <c r="A1002" s="248"/>
      <c r="B1002" s="214"/>
      <c r="C1002" s="207"/>
      <c r="D1002" s="232"/>
      <c r="E1002" s="232"/>
      <c r="F1002" s="209"/>
      <c r="G1002" s="209"/>
      <c r="H1002" s="209"/>
      <c r="I1002" s="209"/>
      <c r="J1002" s="209"/>
      <c r="K1002" s="209"/>
      <c r="L1002" s="209"/>
      <c r="M1002" s="207"/>
      <c r="N1002" s="209"/>
      <c r="O1002" s="209"/>
      <c r="P1002" s="209"/>
      <c r="Q1002" s="209"/>
      <c r="R1002" s="209"/>
      <c r="S1002" s="210"/>
    </row>
    <row r="1003" spans="1:19" s="14" customFormat="1" ht="57" x14ac:dyDescent="0.7">
      <c r="A1003" s="248"/>
      <c r="B1003" s="214"/>
      <c r="C1003" s="207"/>
      <c r="D1003" s="232"/>
      <c r="E1003" s="232"/>
      <c r="F1003" s="209"/>
      <c r="G1003" s="209"/>
      <c r="H1003" s="209"/>
      <c r="I1003" s="209"/>
      <c r="J1003" s="209"/>
      <c r="K1003" s="209"/>
      <c r="L1003" s="209"/>
      <c r="M1003" s="207"/>
      <c r="N1003" s="209"/>
      <c r="O1003" s="209"/>
      <c r="P1003" s="209"/>
      <c r="Q1003" s="209"/>
      <c r="R1003" s="209"/>
      <c r="S1003" s="210"/>
    </row>
    <row r="1004" spans="1:19" s="14" customFormat="1" ht="57" x14ac:dyDescent="0.7">
      <c r="A1004" s="248"/>
      <c r="B1004" s="214"/>
      <c r="C1004" s="207"/>
      <c r="D1004" s="232"/>
      <c r="E1004" s="232"/>
      <c r="F1004" s="209"/>
      <c r="G1004" s="209"/>
      <c r="H1004" s="209"/>
      <c r="I1004" s="209"/>
      <c r="J1004" s="209"/>
      <c r="K1004" s="209"/>
      <c r="L1004" s="209"/>
      <c r="M1004" s="207"/>
      <c r="N1004" s="209"/>
      <c r="O1004" s="209"/>
      <c r="P1004" s="209"/>
      <c r="Q1004" s="209"/>
      <c r="R1004" s="209"/>
      <c r="S1004" s="210"/>
    </row>
    <row r="1005" spans="1:19" s="14" customFormat="1" ht="57" x14ac:dyDescent="0.7">
      <c r="A1005" s="248"/>
      <c r="B1005" s="214"/>
      <c r="C1005" s="207"/>
      <c r="D1005" s="232"/>
      <c r="E1005" s="232"/>
      <c r="F1005" s="209"/>
      <c r="G1005" s="209"/>
      <c r="H1005" s="209"/>
      <c r="I1005" s="209"/>
      <c r="J1005" s="209"/>
      <c r="K1005" s="209"/>
      <c r="L1005" s="209"/>
      <c r="M1005" s="207"/>
      <c r="N1005" s="209"/>
      <c r="O1005" s="209"/>
      <c r="P1005" s="209"/>
      <c r="Q1005" s="209"/>
      <c r="R1005" s="209"/>
      <c r="S1005" s="210"/>
    </row>
    <row r="1006" spans="1:19" s="14" customFormat="1" ht="57" x14ac:dyDescent="0.7">
      <c r="A1006" s="248"/>
      <c r="B1006" s="214"/>
      <c r="C1006" s="207"/>
      <c r="D1006" s="232"/>
      <c r="E1006" s="232"/>
      <c r="F1006" s="209"/>
      <c r="G1006" s="209"/>
      <c r="H1006" s="209"/>
      <c r="I1006" s="209"/>
      <c r="J1006" s="209"/>
      <c r="K1006" s="209"/>
      <c r="L1006" s="209"/>
      <c r="M1006" s="207"/>
      <c r="N1006" s="209"/>
      <c r="O1006" s="209"/>
      <c r="P1006" s="209"/>
      <c r="Q1006" s="209"/>
      <c r="R1006" s="209"/>
      <c r="S1006" s="210"/>
    </row>
    <row r="1007" spans="1:19" s="14" customFormat="1" ht="57" x14ac:dyDescent="0.7">
      <c r="A1007" s="248"/>
      <c r="B1007" s="214"/>
      <c r="C1007" s="207"/>
      <c r="D1007" s="232"/>
      <c r="E1007" s="232"/>
      <c r="F1007" s="209"/>
      <c r="G1007" s="209"/>
      <c r="H1007" s="209"/>
      <c r="I1007" s="209"/>
      <c r="J1007" s="209"/>
      <c r="K1007" s="209"/>
      <c r="L1007" s="209"/>
      <c r="M1007" s="207"/>
      <c r="N1007" s="209"/>
      <c r="O1007" s="209"/>
      <c r="P1007" s="209"/>
      <c r="Q1007" s="209"/>
      <c r="R1007" s="209"/>
      <c r="S1007" s="210"/>
    </row>
    <row r="1008" spans="1:19" s="14" customFormat="1" ht="57" x14ac:dyDescent="0.7">
      <c r="A1008" s="248"/>
      <c r="B1008" s="214"/>
      <c r="C1008" s="207"/>
      <c r="D1008" s="232"/>
      <c r="E1008" s="232"/>
      <c r="F1008" s="209"/>
      <c r="G1008" s="209"/>
      <c r="H1008" s="209"/>
      <c r="I1008" s="209"/>
      <c r="J1008" s="209"/>
      <c r="K1008" s="209"/>
      <c r="L1008" s="209"/>
      <c r="M1008" s="207"/>
      <c r="N1008" s="209"/>
      <c r="O1008" s="209"/>
      <c r="P1008" s="209"/>
      <c r="Q1008" s="209"/>
      <c r="R1008" s="209"/>
      <c r="S1008" s="210"/>
    </row>
    <row r="1009" spans="1:19" s="14" customFormat="1" ht="57" x14ac:dyDescent="0.7">
      <c r="A1009" s="248"/>
      <c r="B1009" s="214"/>
      <c r="C1009" s="207"/>
      <c r="D1009" s="232"/>
      <c r="E1009" s="232"/>
      <c r="F1009" s="209"/>
      <c r="G1009" s="209"/>
      <c r="H1009" s="209"/>
      <c r="I1009" s="209"/>
      <c r="J1009" s="209"/>
      <c r="K1009" s="209"/>
      <c r="L1009" s="209"/>
      <c r="M1009" s="207"/>
      <c r="N1009" s="209"/>
      <c r="O1009" s="209"/>
      <c r="P1009" s="209"/>
      <c r="Q1009" s="209"/>
      <c r="R1009" s="209"/>
      <c r="S1009" s="210"/>
    </row>
    <row r="1010" spans="1:19" s="14" customFormat="1" ht="57" x14ac:dyDescent="0.7">
      <c r="A1010" s="248"/>
      <c r="B1010" s="214"/>
      <c r="C1010" s="207"/>
      <c r="D1010" s="232"/>
      <c r="E1010" s="232"/>
      <c r="F1010" s="209"/>
      <c r="G1010" s="209"/>
      <c r="H1010" s="209"/>
      <c r="I1010" s="209"/>
      <c r="J1010" s="209"/>
      <c r="K1010" s="209"/>
      <c r="L1010" s="209"/>
      <c r="M1010" s="207"/>
      <c r="N1010" s="209"/>
      <c r="O1010" s="209"/>
      <c r="P1010" s="209"/>
      <c r="Q1010" s="209"/>
      <c r="R1010" s="209"/>
      <c r="S1010" s="210"/>
    </row>
    <row r="1011" spans="1:19" s="14" customFormat="1" ht="57" x14ac:dyDescent="0.7">
      <c r="A1011" s="248"/>
      <c r="B1011" s="214"/>
      <c r="C1011" s="207"/>
      <c r="D1011" s="232"/>
      <c r="E1011" s="232"/>
      <c r="F1011" s="209"/>
      <c r="G1011" s="209"/>
      <c r="H1011" s="209"/>
      <c r="I1011" s="209"/>
      <c r="J1011" s="209"/>
      <c r="K1011" s="209"/>
      <c r="L1011" s="209"/>
      <c r="M1011" s="207"/>
      <c r="N1011" s="209"/>
      <c r="O1011" s="209"/>
      <c r="P1011" s="209"/>
      <c r="Q1011" s="209"/>
      <c r="R1011" s="209"/>
      <c r="S1011" s="210"/>
    </row>
    <row r="1012" spans="1:19" s="14" customFormat="1" ht="57" x14ac:dyDescent="0.7">
      <c r="A1012" s="248"/>
      <c r="B1012" s="214"/>
      <c r="C1012" s="207"/>
      <c r="D1012" s="232"/>
      <c r="E1012" s="232"/>
      <c r="F1012" s="209"/>
      <c r="G1012" s="209"/>
      <c r="H1012" s="209"/>
      <c r="I1012" s="209"/>
      <c r="J1012" s="209"/>
      <c r="K1012" s="209"/>
      <c r="L1012" s="209"/>
      <c r="M1012" s="207"/>
      <c r="N1012" s="209"/>
      <c r="O1012" s="209"/>
      <c r="P1012" s="209"/>
      <c r="Q1012" s="209"/>
      <c r="R1012" s="209"/>
      <c r="S1012" s="210"/>
    </row>
    <row r="1013" spans="1:19" s="14" customFormat="1" ht="57" x14ac:dyDescent="0.7">
      <c r="A1013" s="248"/>
      <c r="B1013" s="214"/>
      <c r="C1013" s="207"/>
      <c r="D1013" s="232"/>
      <c r="E1013" s="232"/>
      <c r="F1013" s="209"/>
      <c r="G1013" s="209"/>
      <c r="H1013" s="209"/>
      <c r="I1013" s="209"/>
      <c r="J1013" s="209"/>
      <c r="K1013" s="209"/>
      <c r="L1013" s="209"/>
      <c r="M1013" s="207"/>
      <c r="N1013" s="209"/>
      <c r="O1013" s="209"/>
      <c r="P1013" s="209"/>
      <c r="Q1013" s="209"/>
      <c r="R1013" s="209"/>
      <c r="S1013" s="210"/>
    </row>
    <row r="1014" spans="1:19" s="14" customFormat="1" ht="57" x14ac:dyDescent="0.7">
      <c r="A1014" s="248"/>
      <c r="B1014" s="214"/>
      <c r="C1014" s="207"/>
      <c r="D1014" s="232"/>
      <c r="E1014" s="232"/>
      <c r="F1014" s="209"/>
      <c r="G1014" s="209"/>
      <c r="H1014" s="209"/>
      <c r="I1014" s="209"/>
      <c r="J1014" s="209"/>
      <c r="K1014" s="209"/>
      <c r="L1014" s="209"/>
      <c r="M1014" s="207"/>
      <c r="N1014" s="209"/>
      <c r="O1014" s="209"/>
      <c r="P1014" s="209"/>
      <c r="Q1014" s="209"/>
      <c r="R1014" s="209"/>
      <c r="S1014" s="210"/>
    </row>
    <row r="1015" spans="1:19" s="14" customFormat="1" ht="57" x14ac:dyDescent="0.7">
      <c r="A1015" s="248"/>
      <c r="B1015" s="214"/>
      <c r="C1015" s="207"/>
      <c r="D1015" s="232"/>
      <c r="E1015" s="232"/>
      <c r="F1015" s="209"/>
      <c r="G1015" s="209"/>
      <c r="H1015" s="209"/>
      <c r="I1015" s="209"/>
      <c r="J1015" s="209"/>
      <c r="K1015" s="209"/>
      <c r="L1015" s="209"/>
      <c r="M1015" s="207"/>
      <c r="N1015" s="209"/>
      <c r="O1015" s="209"/>
      <c r="P1015" s="209"/>
      <c r="Q1015" s="209"/>
      <c r="R1015" s="209"/>
      <c r="S1015" s="210"/>
    </row>
    <row r="1016" spans="1:19" s="14" customFormat="1" ht="57" x14ac:dyDescent="0.7">
      <c r="A1016" s="248"/>
      <c r="B1016" s="214"/>
      <c r="C1016" s="207"/>
      <c r="D1016" s="232"/>
      <c r="E1016" s="232"/>
      <c r="F1016" s="209"/>
      <c r="G1016" s="209"/>
      <c r="H1016" s="209"/>
      <c r="I1016" s="209"/>
      <c r="J1016" s="209"/>
      <c r="K1016" s="209"/>
      <c r="L1016" s="209"/>
      <c r="M1016" s="207"/>
      <c r="N1016" s="209"/>
      <c r="O1016" s="209"/>
      <c r="P1016" s="209"/>
      <c r="Q1016" s="209"/>
      <c r="R1016" s="209"/>
      <c r="S1016" s="210"/>
    </row>
    <row r="1017" spans="1:19" s="14" customFormat="1" ht="57" x14ac:dyDescent="0.7">
      <c r="A1017" s="248"/>
      <c r="B1017" s="214"/>
      <c r="C1017" s="207"/>
      <c r="D1017" s="232"/>
      <c r="E1017" s="232"/>
      <c r="F1017" s="209"/>
      <c r="G1017" s="209"/>
      <c r="H1017" s="209"/>
      <c r="I1017" s="209"/>
      <c r="J1017" s="209"/>
      <c r="K1017" s="209"/>
      <c r="L1017" s="209"/>
      <c r="M1017" s="207"/>
      <c r="N1017" s="209"/>
      <c r="O1017" s="209"/>
      <c r="P1017" s="209"/>
      <c r="Q1017" s="209"/>
      <c r="R1017" s="209"/>
      <c r="S1017" s="210"/>
    </row>
    <row r="1018" spans="1:19" s="14" customFormat="1" ht="57" x14ac:dyDescent="0.7">
      <c r="A1018" s="248"/>
      <c r="B1018" s="214"/>
      <c r="C1018" s="207"/>
      <c r="D1018" s="232"/>
      <c r="E1018" s="232"/>
      <c r="F1018" s="209"/>
      <c r="G1018" s="209"/>
      <c r="H1018" s="209"/>
      <c r="I1018" s="209"/>
      <c r="J1018" s="209"/>
      <c r="K1018" s="209"/>
      <c r="L1018" s="209"/>
      <c r="M1018" s="207"/>
      <c r="N1018" s="209"/>
      <c r="O1018" s="209"/>
      <c r="P1018" s="209"/>
      <c r="Q1018" s="209"/>
      <c r="R1018" s="209"/>
      <c r="S1018" s="210"/>
    </row>
    <row r="1019" spans="1:19" s="14" customFormat="1" ht="57" x14ac:dyDescent="0.7">
      <c r="A1019" s="248"/>
      <c r="B1019" s="214"/>
      <c r="C1019" s="207"/>
      <c r="D1019" s="232"/>
      <c r="E1019" s="232"/>
      <c r="F1019" s="209"/>
      <c r="G1019" s="209"/>
      <c r="H1019" s="209"/>
      <c r="I1019" s="209"/>
      <c r="J1019" s="209"/>
      <c r="K1019" s="209"/>
      <c r="L1019" s="209"/>
      <c r="M1019" s="207"/>
      <c r="N1019" s="209"/>
      <c r="O1019" s="209"/>
      <c r="P1019" s="209"/>
      <c r="Q1019" s="209"/>
      <c r="R1019" s="209"/>
      <c r="S1019" s="210"/>
    </row>
    <row r="1020" spans="1:19" s="14" customFormat="1" ht="57" x14ac:dyDescent="0.7">
      <c r="A1020" s="248"/>
      <c r="B1020" s="214"/>
      <c r="C1020" s="207"/>
      <c r="D1020" s="232"/>
      <c r="E1020" s="232"/>
      <c r="F1020" s="209"/>
      <c r="G1020" s="209"/>
      <c r="H1020" s="209"/>
      <c r="I1020" s="209"/>
      <c r="J1020" s="209"/>
      <c r="K1020" s="209"/>
      <c r="L1020" s="209"/>
      <c r="M1020" s="207"/>
      <c r="N1020" s="209"/>
      <c r="O1020" s="209"/>
      <c r="P1020" s="209"/>
      <c r="Q1020" s="209"/>
      <c r="R1020" s="209"/>
      <c r="S1020" s="210"/>
    </row>
    <row r="1021" spans="1:19" s="14" customFormat="1" ht="57" x14ac:dyDescent="0.7">
      <c r="A1021" s="248"/>
      <c r="B1021" s="214"/>
      <c r="C1021" s="207"/>
      <c r="D1021" s="232"/>
      <c r="E1021" s="232"/>
      <c r="F1021" s="209"/>
      <c r="G1021" s="209"/>
      <c r="H1021" s="209"/>
      <c r="I1021" s="209"/>
      <c r="J1021" s="209"/>
      <c r="K1021" s="209"/>
      <c r="L1021" s="209"/>
      <c r="M1021" s="207"/>
      <c r="N1021" s="209"/>
      <c r="O1021" s="209"/>
      <c r="P1021" s="209"/>
      <c r="Q1021" s="209"/>
      <c r="R1021" s="209"/>
      <c r="S1021" s="210"/>
    </row>
    <row r="1022" spans="1:19" s="14" customFormat="1" ht="57" x14ac:dyDescent="0.7">
      <c r="A1022" s="248"/>
      <c r="B1022" s="214"/>
      <c r="C1022" s="207"/>
      <c r="D1022" s="232"/>
      <c r="E1022" s="232"/>
      <c r="F1022" s="209"/>
      <c r="G1022" s="209"/>
      <c r="H1022" s="209"/>
      <c r="I1022" s="209"/>
      <c r="J1022" s="209"/>
      <c r="K1022" s="209"/>
      <c r="L1022" s="209"/>
      <c r="M1022" s="207"/>
      <c r="N1022" s="209"/>
      <c r="O1022" s="209"/>
      <c r="P1022" s="209"/>
      <c r="Q1022" s="209"/>
      <c r="R1022" s="209"/>
      <c r="S1022" s="210"/>
    </row>
    <row r="1023" spans="1:19" s="14" customFormat="1" ht="57" x14ac:dyDescent="0.7">
      <c r="A1023" s="248"/>
      <c r="B1023" s="214"/>
      <c r="C1023" s="207"/>
      <c r="D1023" s="232"/>
      <c r="E1023" s="232"/>
      <c r="F1023" s="209"/>
      <c r="G1023" s="209"/>
      <c r="H1023" s="209"/>
      <c r="I1023" s="209"/>
      <c r="J1023" s="209"/>
      <c r="K1023" s="209"/>
      <c r="L1023" s="209"/>
      <c r="M1023" s="207"/>
      <c r="N1023" s="209"/>
      <c r="O1023" s="209"/>
      <c r="P1023" s="209"/>
      <c r="Q1023" s="209"/>
      <c r="R1023" s="209"/>
      <c r="S1023" s="210"/>
    </row>
    <row r="1024" spans="1:19" s="14" customFormat="1" ht="57" x14ac:dyDescent="0.7">
      <c r="A1024" s="248"/>
      <c r="B1024" s="214"/>
      <c r="C1024" s="207"/>
      <c r="D1024" s="232"/>
      <c r="E1024" s="232"/>
      <c r="F1024" s="209"/>
      <c r="G1024" s="209"/>
      <c r="H1024" s="209"/>
      <c r="I1024" s="209"/>
      <c r="J1024" s="209"/>
      <c r="K1024" s="209"/>
      <c r="L1024" s="209"/>
      <c r="M1024" s="207"/>
      <c r="N1024" s="209"/>
      <c r="O1024" s="209"/>
      <c r="P1024" s="209"/>
      <c r="Q1024" s="209"/>
      <c r="R1024" s="209"/>
      <c r="S1024" s="210"/>
    </row>
    <row r="1025" spans="1:19" s="14" customFormat="1" ht="57" x14ac:dyDescent="0.7">
      <c r="A1025" s="248"/>
      <c r="B1025" s="214"/>
      <c r="C1025" s="207"/>
      <c r="D1025" s="232"/>
      <c r="E1025" s="232"/>
      <c r="F1025" s="209"/>
      <c r="G1025" s="209"/>
      <c r="H1025" s="209"/>
      <c r="I1025" s="209"/>
      <c r="J1025" s="209"/>
      <c r="K1025" s="209"/>
      <c r="L1025" s="209"/>
      <c r="M1025" s="207"/>
      <c r="N1025" s="209"/>
      <c r="O1025" s="209"/>
      <c r="P1025" s="209"/>
      <c r="Q1025" s="209"/>
      <c r="R1025" s="209"/>
      <c r="S1025" s="210"/>
    </row>
    <row r="1026" spans="1:19" s="14" customFormat="1" ht="57" x14ac:dyDescent="0.7">
      <c r="A1026" s="248"/>
      <c r="B1026" s="214"/>
      <c r="C1026" s="207"/>
      <c r="D1026" s="232"/>
      <c r="E1026" s="232"/>
      <c r="F1026" s="209"/>
      <c r="G1026" s="209"/>
      <c r="H1026" s="209"/>
      <c r="I1026" s="209"/>
      <c r="J1026" s="209"/>
      <c r="K1026" s="209"/>
      <c r="L1026" s="209"/>
      <c r="M1026" s="207"/>
      <c r="N1026" s="209"/>
      <c r="O1026" s="209"/>
      <c r="P1026" s="209"/>
      <c r="Q1026" s="209"/>
      <c r="R1026" s="209"/>
      <c r="S1026" s="210"/>
    </row>
    <row r="1027" spans="1:19" s="14" customFormat="1" ht="57" x14ac:dyDescent="0.7">
      <c r="A1027" s="248"/>
      <c r="B1027" s="214"/>
      <c r="C1027" s="207"/>
      <c r="D1027" s="232"/>
      <c r="E1027" s="232"/>
      <c r="F1027" s="209"/>
      <c r="G1027" s="209"/>
      <c r="H1027" s="209"/>
      <c r="I1027" s="209"/>
      <c r="J1027" s="209"/>
      <c r="K1027" s="209"/>
      <c r="L1027" s="209"/>
      <c r="M1027" s="207"/>
      <c r="N1027" s="209"/>
      <c r="O1027" s="209"/>
      <c r="P1027" s="209"/>
      <c r="Q1027" s="209"/>
      <c r="R1027" s="209"/>
      <c r="S1027" s="210"/>
    </row>
    <row r="1028" spans="1:19" s="14" customFormat="1" ht="57" x14ac:dyDescent="0.7">
      <c r="A1028" s="248"/>
      <c r="B1028" s="214"/>
      <c r="C1028" s="207"/>
      <c r="D1028" s="232"/>
      <c r="E1028" s="232"/>
      <c r="F1028" s="209"/>
      <c r="G1028" s="209"/>
      <c r="H1028" s="209"/>
      <c r="I1028" s="209"/>
      <c r="J1028" s="209"/>
      <c r="K1028" s="209"/>
      <c r="L1028" s="209"/>
      <c r="M1028" s="207"/>
      <c r="N1028" s="209"/>
      <c r="O1028" s="209"/>
      <c r="P1028" s="209"/>
      <c r="Q1028" s="209"/>
      <c r="R1028" s="209"/>
      <c r="S1028" s="210"/>
    </row>
    <row r="1029" spans="1:19" s="14" customFormat="1" ht="57" x14ac:dyDescent="0.7">
      <c r="A1029" s="248"/>
      <c r="B1029" s="214"/>
      <c r="C1029" s="207"/>
      <c r="D1029" s="232"/>
      <c r="E1029" s="232"/>
      <c r="F1029" s="209"/>
      <c r="G1029" s="209"/>
      <c r="H1029" s="209"/>
      <c r="I1029" s="209"/>
      <c r="J1029" s="209"/>
      <c r="K1029" s="209"/>
      <c r="L1029" s="209"/>
      <c r="M1029" s="207"/>
      <c r="N1029" s="209"/>
      <c r="O1029" s="209"/>
      <c r="P1029" s="209"/>
      <c r="Q1029" s="209"/>
      <c r="R1029" s="209"/>
      <c r="S1029" s="210"/>
    </row>
    <row r="1030" spans="1:19" s="14" customFormat="1" ht="57" x14ac:dyDescent="0.7">
      <c r="A1030" s="248"/>
      <c r="B1030" s="214"/>
      <c r="C1030" s="207"/>
      <c r="D1030" s="232"/>
      <c r="E1030" s="232"/>
      <c r="F1030" s="209"/>
      <c r="G1030" s="209"/>
      <c r="H1030" s="209"/>
      <c r="I1030" s="209"/>
      <c r="J1030" s="209"/>
      <c r="K1030" s="209"/>
      <c r="L1030" s="209"/>
      <c r="M1030" s="207"/>
      <c r="N1030" s="209"/>
      <c r="O1030" s="209"/>
      <c r="P1030" s="209"/>
      <c r="Q1030" s="209"/>
      <c r="R1030" s="209"/>
      <c r="S1030" s="210"/>
    </row>
    <row r="1031" spans="1:19" s="14" customFormat="1" ht="57" x14ac:dyDescent="0.7">
      <c r="A1031" s="248"/>
      <c r="B1031" s="214"/>
      <c r="C1031" s="207"/>
      <c r="D1031" s="232"/>
      <c r="E1031" s="232"/>
      <c r="F1031" s="209"/>
      <c r="G1031" s="209"/>
      <c r="H1031" s="209"/>
      <c r="I1031" s="209"/>
      <c r="J1031" s="209"/>
      <c r="K1031" s="209"/>
      <c r="L1031" s="209"/>
      <c r="M1031" s="207"/>
      <c r="N1031" s="209"/>
      <c r="O1031" s="209"/>
      <c r="P1031" s="209"/>
      <c r="Q1031" s="209"/>
      <c r="R1031" s="209"/>
      <c r="S1031" s="210"/>
    </row>
    <row r="1032" spans="1:19" s="14" customFormat="1" ht="57" x14ac:dyDescent="0.7">
      <c r="A1032" s="248"/>
      <c r="B1032" s="214"/>
      <c r="C1032" s="207"/>
      <c r="D1032" s="232"/>
      <c r="E1032" s="232"/>
      <c r="F1032" s="209"/>
      <c r="G1032" s="209"/>
      <c r="H1032" s="209"/>
      <c r="I1032" s="209"/>
      <c r="J1032" s="209"/>
      <c r="K1032" s="209"/>
      <c r="L1032" s="209"/>
      <c r="M1032" s="207"/>
      <c r="N1032" s="209"/>
      <c r="O1032" s="209"/>
      <c r="P1032" s="209"/>
      <c r="Q1032" s="209"/>
      <c r="R1032" s="209"/>
      <c r="S1032" s="210"/>
    </row>
    <row r="1033" spans="1:19" s="14" customFormat="1" ht="57" x14ac:dyDescent="0.7">
      <c r="A1033" s="248"/>
      <c r="B1033" s="214"/>
      <c r="C1033" s="207"/>
      <c r="D1033" s="232"/>
      <c r="E1033" s="232"/>
      <c r="F1033" s="209"/>
      <c r="G1033" s="209"/>
      <c r="H1033" s="209"/>
      <c r="I1033" s="209"/>
      <c r="J1033" s="209"/>
      <c r="K1033" s="209"/>
      <c r="L1033" s="209"/>
      <c r="M1033" s="207"/>
      <c r="N1033" s="209"/>
      <c r="O1033" s="209"/>
      <c r="P1033" s="209"/>
      <c r="Q1033" s="209"/>
      <c r="R1033" s="209"/>
      <c r="S1033" s="210"/>
    </row>
    <row r="1034" spans="1:19" s="14" customFormat="1" ht="57" x14ac:dyDescent="0.7">
      <c r="A1034" s="248"/>
      <c r="B1034" s="214"/>
      <c r="C1034" s="207"/>
      <c r="D1034" s="232"/>
      <c r="E1034" s="232"/>
      <c r="F1034" s="209"/>
      <c r="G1034" s="209"/>
      <c r="H1034" s="209"/>
      <c r="I1034" s="209"/>
      <c r="J1034" s="209"/>
      <c r="K1034" s="209"/>
      <c r="L1034" s="209"/>
      <c r="M1034" s="207"/>
      <c r="N1034" s="209"/>
      <c r="O1034" s="209"/>
      <c r="P1034" s="209"/>
      <c r="Q1034" s="209"/>
      <c r="R1034" s="209"/>
      <c r="S1034" s="210"/>
    </row>
    <row r="1035" spans="1:19" s="14" customFormat="1" ht="57" x14ac:dyDescent="0.7">
      <c r="A1035" s="248"/>
      <c r="B1035" s="214"/>
      <c r="C1035" s="207"/>
      <c r="D1035" s="232"/>
      <c r="E1035" s="232"/>
      <c r="F1035" s="209"/>
      <c r="G1035" s="209"/>
      <c r="H1035" s="209"/>
      <c r="I1035" s="209"/>
      <c r="J1035" s="209"/>
      <c r="K1035" s="209"/>
      <c r="L1035" s="209"/>
      <c r="M1035" s="207"/>
      <c r="N1035" s="209"/>
      <c r="O1035" s="209"/>
      <c r="P1035" s="209"/>
      <c r="Q1035" s="209"/>
      <c r="R1035" s="209"/>
      <c r="S1035" s="210"/>
    </row>
    <row r="1036" spans="1:19" s="14" customFormat="1" ht="57" x14ac:dyDescent="0.7">
      <c r="A1036" s="248"/>
      <c r="B1036" s="214"/>
      <c r="C1036" s="207"/>
      <c r="D1036" s="232"/>
      <c r="E1036" s="232"/>
      <c r="F1036" s="209"/>
      <c r="G1036" s="209"/>
      <c r="H1036" s="209"/>
      <c r="I1036" s="209"/>
      <c r="J1036" s="209"/>
      <c r="K1036" s="209"/>
      <c r="L1036" s="209"/>
      <c r="M1036" s="207"/>
      <c r="N1036" s="209"/>
      <c r="O1036" s="209"/>
      <c r="P1036" s="209"/>
      <c r="Q1036" s="209"/>
      <c r="R1036" s="209"/>
      <c r="S1036" s="210"/>
    </row>
    <row r="1037" spans="1:19" s="14" customFormat="1" ht="57" x14ac:dyDescent="0.7">
      <c r="A1037" s="248"/>
      <c r="B1037" s="214"/>
      <c r="C1037" s="207"/>
      <c r="D1037" s="232"/>
      <c r="E1037" s="232"/>
      <c r="F1037" s="209"/>
      <c r="G1037" s="209"/>
      <c r="H1037" s="209"/>
      <c r="I1037" s="209"/>
      <c r="J1037" s="209"/>
      <c r="K1037" s="209"/>
      <c r="L1037" s="209"/>
      <c r="M1037" s="207"/>
      <c r="N1037" s="209"/>
      <c r="O1037" s="209"/>
      <c r="P1037" s="209"/>
      <c r="Q1037" s="209"/>
      <c r="R1037" s="209"/>
      <c r="S1037" s="210"/>
    </row>
    <row r="1038" spans="1:19" s="14" customFormat="1" ht="57" x14ac:dyDescent="0.7">
      <c r="A1038" s="248"/>
      <c r="B1038" s="214"/>
      <c r="C1038" s="207"/>
      <c r="D1038" s="232"/>
      <c r="E1038" s="232"/>
      <c r="F1038" s="209"/>
      <c r="G1038" s="209"/>
      <c r="H1038" s="209"/>
      <c r="I1038" s="209"/>
      <c r="J1038" s="209"/>
      <c r="K1038" s="209"/>
      <c r="L1038" s="209"/>
      <c r="M1038" s="207"/>
      <c r="N1038" s="209"/>
      <c r="O1038" s="209"/>
      <c r="P1038" s="209"/>
      <c r="Q1038" s="209"/>
      <c r="R1038" s="209"/>
      <c r="S1038" s="210"/>
    </row>
    <row r="1039" spans="1:19" s="14" customFormat="1" ht="57" x14ac:dyDescent="0.7">
      <c r="A1039" s="248"/>
      <c r="B1039" s="214"/>
      <c r="C1039" s="207"/>
      <c r="D1039" s="232"/>
      <c r="E1039" s="232"/>
      <c r="F1039" s="209"/>
      <c r="G1039" s="209"/>
      <c r="H1039" s="209"/>
      <c r="I1039" s="209"/>
      <c r="J1039" s="209"/>
      <c r="K1039" s="209"/>
      <c r="L1039" s="209"/>
      <c r="M1039" s="207"/>
      <c r="N1039" s="209"/>
      <c r="O1039" s="209"/>
      <c r="P1039" s="209"/>
      <c r="Q1039" s="209"/>
      <c r="R1039" s="209"/>
      <c r="S1039" s="210"/>
    </row>
    <row r="1040" spans="1:19" s="14" customFormat="1" ht="57" x14ac:dyDescent="0.7">
      <c r="A1040" s="248"/>
      <c r="B1040" s="214"/>
      <c r="C1040" s="207"/>
      <c r="D1040" s="232"/>
      <c r="E1040" s="232"/>
      <c r="F1040" s="209"/>
      <c r="G1040" s="209"/>
      <c r="H1040" s="209"/>
      <c r="I1040" s="209"/>
      <c r="J1040" s="209"/>
      <c r="K1040" s="209"/>
      <c r="L1040" s="209"/>
      <c r="M1040" s="207"/>
      <c r="N1040" s="209"/>
      <c r="O1040" s="209"/>
      <c r="P1040" s="209"/>
      <c r="Q1040" s="209"/>
      <c r="R1040" s="209"/>
      <c r="S1040" s="210"/>
    </row>
    <row r="1041" spans="1:19" s="14" customFormat="1" ht="57" x14ac:dyDescent="0.7">
      <c r="A1041" s="248"/>
      <c r="B1041" s="214"/>
      <c r="C1041" s="207"/>
      <c r="D1041" s="232"/>
      <c r="E1041" s="232"/>
      <c r="F1041" s="209"/>
      <c r="G1041" s="209"/>
      <c r="H1041" s="209"/>
      <c r="I1041" s="209"/>
      <c r="J1041" s="209"/>
      <c r="K1041" s="209"/>
      <c r="L1041" s="209"/>
      <c r="M1041" s="207"/>
      <c r="N1041" s="209"/>
      <c r="O1041" s="209"/>
      <c r="P1041" s="209"/>
      <c r="Q1041" s="209"/>
      <c r="R1041" s="209"/>
      <c r="S1041" s="210"/>
    </row>
    <row r="1042" spans="1:19" s="14" customFormat="1" ht="57" x14ac:dyDescent="0.7">
      <c r="A1042" s="248"/>
      <c r="B1042" s="214"/>
      <c r="C1042" s="207"/>
      <c r="D1042" s="232"/>
      <c r="E1042" s="232"/>
      <c r="F1042" s="209"/>
      <c r="G1042" s="209"/>
      <c r="H1042" s="209"/>
      <c r="I1042" s="209"/>
      <c r="J1042" s="209"/>
      <c r="K1042" s="209"/>
      <c r="L1042" s="209"/>
      <c r="M1042" s="207"/>
      <c r="N1042" s="209"/>
      <c r="O1042" s="209"/>
      <c r="P1042" s="209"/>
      <c r="Q1042" s="209"/>
      <c r="R1042" s="209"/>
      <c r="S1042" s="210"/>
    </row>
    <row r="1043" spans="1:19" s="14" customFormat="1" ht="57" x14ac:dyDescent="0.7">
      <c r="A1043" s="248"/>
      <c r="B1043" s="214"/>
      <c r="C1043" s="207"/>
      <c r="D1043" s="232"/>
      <c r="E1043" s="232"/>
      <c r="F1043" s="209"/>
      <c r="G1043" s="209"/>
      <c r="H1043" s="209"/>
      <c r="I1043" s="209"/>
      <c r="J1043" s="209"/>
      <c r="K1043" s="209"/>
      <c r="L1043" s="209"/>
      <c r="M1043" s="207"/>
      <c r="N1043" s="209"/>
      <c r="O1043" s="209"/>
      <c r="P1043" s="209"/>
      <c r="Q1043" s="209"/>
      <c r="R1043" s="209"/>
      <c r="S1043" s="210"/>
    </row>
    <row r="1044" spans="1:19" s="14" customFormat="1" ht="57" x14ac:dyDescent="0.7">
      <c r="A1044" s="248"/>
      <c r="B1044" s="214"/>
      <c r="C1044" s="207"/>
      <c r="D1044" s="232"/>
      <c r="E1044" s="232"/>
      <c r="F1044" s="209"/>
      <c r="G1044" s="209"/>
      <c r="H1044" s="209"/>
      <c r="I1044" s="209"/>
      <c r="J1044" s="209"/>
      <c r="K1044" s="209"/>
      <c r="L1044" s="209"/>
      <c r="M1044" s="207"/>
      <c r="N1044" s="209"/>
      <c r="O1044" s="209"/>
      <c r="P1044" s="209"/>
      <c r="Q1044" s="209"/>
      <c r="R1044" s="209"/>
      <c r="S1044" s="210"/>
    </row>
    <row r="1045" spans="1:19" s="14" customFormat="1" ht="57" x14ac:dyDescent="0.7">
      <c r="A1045" s="248"/>
      <c r="B1045" s="214"/>
      <c r="C1045" s="207"/>
      <c r="D1045" s="232"/>
      <c r="E1045" s="232"/>
      <c r="F1045" s="209"/>
      <c r="G1045" s="209"/>
      <c r="H1045" s="209"/>
      <c r="I1045" s="209"/>
      <c r="J1045" s="209"/>
      <c r="K1045" s="209"/>
      <c r="L1045" s="209"/>
      <c r="M1045" s="207"/>
      <c r="N1045" s="209"/>
      <c r="O1045" s="209"/>
      <c r="P1045" s="209"/>
      <c r="Q1045" s="209"/>
      <c r="R1045" s="209"/>
      <c r="S1045" s="210"/>
    </row>
    <row r="1046" spans="1:19" s="14" customFormat="1" ht="57" x14ac:dyDescent="0.7">
      <c r="A1046" s="248"/>
      <c r="B1046" s="214"/>
      <c r="C1046" s="207"/>
      <c r="D1046" s="232"/>
      <c r="E1046" s="232"/>
      <c r="F1046" s="209"/>
      <c r="G1046" s="209"/>
      <c r="H1046" s="209"/>
      <c r="I1046" s="209"/>
      <c r="J1046" s="209"/>
      <c r="K1046" s="209"/>
      <c r="L1046" s="209"/>
      <c r="M1046" s="207"/>
      <c r="N1046" s="209"/>
      <c r="O1046" s="209"/>
      <c r="P1046" s="209"/>
      <c r="Q1046" s="209"/>
      <c r="R1046" s="209"/>
      <c r="S1046" s="210"/>
    </row>
    <row r="1047" spans="1:19" s="14" customFormat="1" ht="57" x14ac:dyDescent="0.7">
      <c r="A1047" s="248"/>
      <c r="B1047" s="214"/>
      <c r="C1047" s="207"/>
      <c r="D1047" s="232"/>
      <c r="E1047" s="232"/>
      <c r="F1047" s="209"/>
      <c r="G1047" s="209"/>
      <c r="H1047" s="209"/>
      <c r="I1047" s="209"/>
      <c r="J1047" s="209"/>
      <c r="K1047" s="209"/>
      <c r="L1047" s="209"/>
      <c r="M1047" s="207"/>
      <c r="N1047" s="209"/>
      <c r="O1047" s="209"/>
      <c r="P1047" s="209"/>
      <c r="Q1047" s="209"/>
      <c r="R1047" s="209"/>
      <c r="S1047" s="210"/>
    </row>
    <row r="1048" spans="1:19" s="14" customFormat="1" ht="57" x14ac:dyDescent="0.7">
      <c r="A1048" s="248"/>
      <c r="B1048" s="214"/>
      <c r="C1048" s="207"/>
      <c r="D1048" s="232"/>
      <c r="E1048" s="232"/>
      <c r="F1048" s="209"/>
      <c r="G1048" s="209"/>
      <c r="H1048" s="209"/>
      <c r="I1048" s="209"/>
      <c r="J1048" s="209"/>
      <c r="K1048" s="209"/>
      <c r="L1048" s="209"/>
      <c r="M1048" s="207"/>
      <c r="N1048" s="209"/>
      <c r="O1048" s="209"/>
      <c r="P1048" s="209"/>
      <c r="Q1048" s="209"/>
      <c r="R1048" s="209"/>
      <c r="S1048" s="210"/>
    </row>
    <row r="1049" spans="1:19" s="14" customFormat="1" ht="57" x14ac:dyDescent="0.7">
      <c r="A1049" s="248"/>
      <c r="B1049" s="214"/>
      <c r="C1049" s="207"/>
      <c r="D1049" s="232"/>
      <c r="E1049" s="232"/>
      <c r="F1049" s="209"/>
      <c r="G1049" s="209"/>
      <c r="H1049" s="209"/>
      <c r="I1049" s="209"/>
      <c r="J1049" s="209"/>
      <c r="K1049" s="209"/>
      <c r="L1049" s="209"/>
      <c r="M1049" s="207"/>
      <c r="N1049" s="209"/>
      <c r="O1049" s="209"/>
      <c r="P1049" s="209"/>
      <c r="Q1049" s="209"/>
      <c r="R1049" s="209"/>
      <c r="S1049" s="210"/>
    </row>
    <row r="1050" spans="1:19" s="14" customFormat="1" ht="57" x14ac:dyDescent="0.7">
      <c r="A1050" s="248"/>
      <c r="B1050" s="214"/>
      <c r="C1050" s="207"/>
      <c r="D1050" s="232"/>
      <c r="E1050" s="232"/>
      <c r="F1050" s="209"/>
      <c r="G1050" s="209"/>
      <c r="H1050" s="209"/>
      <c r="I1050" s="209"/>
      <c r="J1050" s="209"/>
      <c r="K1050" s="209"/>
      <c r="L1050" s="209"/>
      <c r="M1050" s="207"/>
      <c r="N1050" s="209"/>
      <c r="O1050" s="209"/>
      <c r="P1050" s="209"/>
      <c r="Q1050" s="209"/>
      <c r="R1050" s="209"/>
      <c r="S1050" s="210"/>
    </row>
    <row r="1051" spans="1:19" s="14" customFormat="1" ht="57" x14ac:dyDescent="0.7">
      <c r="A1051" s="248"/>
      <c r="B1051" s="214"/>
      <c r="C1051" s="207"/>
      <c r="D1051" s="232"/>
      <c r="E1051" s="232"/>
      <c r="F1051" s="209"/>
      <c r="G1051" s="209"/>
      <c r="H1051" s="209"/>
      <c r="I1051" s="209"/>
      <c r="J1051" s="209"/>
      <c r="K1051" s="209"/>
      <c r="L1051" s="209"/>
      <c r="M1051" s="207"/>
      <c r="N1051" s="209"/>
      <c r="O1051" s="209"/>
      <c r="P1051" s="209"/>
      <c r="Q1051" s="209"/>
      <c r="R1051" s="209"/>
      <c r="S1051" s="210"/>
    </row>
    <row r="1052" spans="1:19" s="14" customFormat="1" ht="57" x14ac:dyDescent="0.7">
      <c r="A1052" s="248"/>
      <c r="B1052" s="214"/>
      <c r="C1052" s="207"/>
      <c r="D1052" s="232"/>
      <c r="E1052" s="232"/>
      <c r="F1052" s="209"/>
      <c r="G1052" s="209"/>
      <c r="H1052" s="209"/>
      <c r="I1052" s="209"/>
      <c r="J1052" s="209"/>
      <c r="K1052" s="209"/>
      <c r="L1052" s="209"/>
      <c r="M1052" s="207"/>
      <c r="N1052" s="209"/>
      <c r="O1052" s="209"/>
      <c r="P1052" s="209"/>
      <c r="Q1052" s="209"/>
      <c r="R1052" s="209"/>
      <c r="S1052" s="210"/>
    </row>
    <row r="1053" spans="1:19" s="14" customFormat="1" ht="57" x14ac:dyDescent="0.7">
      <c r="A1053" s="248"/>
      <c r="B1053" s="214"/>
      <c r="C1053" s="207"/>
      <c r="D1053" s="232"/>
      <c r="E1053" s="232"/>
      <c r="F1053" s="209"/>
      <c r="G1053" s="209"/>
      <c r="H1053" s="209"/>
      <c r="I1053" s="209"/>
      <c r="J1053" s="209"/>
      <c r="K1053" s="209"/>
      <c r="L1053" s="209"/>
      <c r="M1053" s="207"/>
      <c r="N1053" s="209"/>
      <c r="O1053" s="209"/>
      <c r="P1053" s="209"/>
      <c r="Q1053" s="209"/>
      <c r="R1053" s="209"/>
      <c r="S1053" s="210"/>
    </row>
    <row r="1054" spans="1:19" s="14" customFormat="1" ht="57" x14ac:dyDescent="0.7">
      <c r="A1054" s="248"/>
      <c r="B1054" s="214"/>
      <c r="C1054" s="207"/>
      <c r="D1054" s="232"/>
      <c r="E1054" s="232"/>
      <c r="F1054" s="209"/>
      <c r="G1054" s="209"/>
      <c r="H1054" s="209"/>
      <c r="I1054" s="209"/>
      <c r="J1054" s="209"/>
      <c r="K1054" s="209"/>
      <c r="L1054" s="209"/>
      <c r="M1054" s="207"/>
      <c r="N1054" s="209"/>
      <c r="O1054" s="209"/>
      <c r="P1054" s="209"/>
      <c r="Q1054" s="209"/>
      <c r="R1054" s="209"/>
      <c r="S1054" s="210"/>
    </row>
    <row r="1055" spans="1:19" s="14" customFormat="1" ht="57" x14ac:dyDescent="0.7">
      <c r="A1055" s="248"/>
      <c r="B1055" s="214"/>
      <c r="C1055" s="207"/>
      <c r="D1055" s="232"/>
      <c r="E1055" s="232"/>
      <c r="F1055" s="209"/>
      <c r="G1055" s="209"/>
      <c r="H1055" s="209"/>
      <c r="I1055" s="209"/>
      <c r="J1055" s="209"/>
      <c r="K1055" s="209"/>
      <c r="L1055" s="209"/>
      <c r="M1055" s="207"/>
      <c r="N1055" s="209"/>
      <c r="O1055" s="209"/>
      <c r="P1055" s="209"/>
      <c r="Q1055" s="209"/>
      <c r="R1055" s="209"/>
      <c r="S1055" s="210"/>
    </row>
    <row r="1056" spans="1:19" s="14" customFormat="1" ht="57" x14ac:dyDescent="0.7">
      <c r="A1056" s="248"/>
      <c r="B1056" s="214"/>
      <c r="C1056" s="207"/>
      <c r="D1056" s="232"/>
      <c r="E1056" s="232"/>
      <c r="F1056" s="209"/>
      <c r="G1056" s="209"/>
      <c r="H1056" s="209"/>
      <c r="I1056" s="209"/>
      <c r="J1056" s="209"/>
      <c r="K1056" s="209"/>
      <c r="L1056" s="209"/>
      <c r="M1056" s="207"/>
      <c r="N1056" s="209"/>
      <c r="O1056" s="209"/>
      <c r="P1056" s="209"/>
      <c r="Q1056" s="209"/>
      <c r="R1056" s="209"/>
      <c r="S1056" s="210"/>
    </row>
    <row r="1057" spans="1:19" s="14" customFormat="1" ht="57" x14ac:dyDescent="0.7">
      <c r="A1057" s="248"/>
      <c r="B1057" s="214"/>
      <c r="C1057" s="207"/>
      <c r="D1057" s="232"/>
      <c r="E1057" s="232"/>
      <c r="F1057" s="209"/>
      <c r="G1057" s="209"/>
      <c r="H1057" s="209"/>
      <c r="I1057" s="209"/>
      <c r="J1057" s="209"/>
      <c r="K1057" s="209"/>
      <c r="L1057" s="209"/>
      <c r="M1057" s="207"/>
      <c r="N1057" s="209"/>
      <c r="O1057" s="209"/>
      <c r="P1057" s="209"/>
      <c r="Q1057" s="209"/>
      <c r="R1057" s="209"/>
      <c r="S1057" s="210"/>
    </row>
    <row r="1058" spans="1:19" s="14" customFormat="1" ht="57" x14ac:dyDescent="0.7">
      <c r="A1058" s="248"/>
      <c r="B1058" s="214"/>
      <c r="C1058" s="207"/>
      <c r="D1058" s="232"/>
      <c r="E1058" s="232"/>
      <c r="F1058" s="209"/>
      <c r="G1058" s="209"/>
      <c r="H1058" s="209"/>
      <c r="I1058" s="209"/>
      <c r="J1058" s="209"/>
      <c r="K1058" s="209"/>
      <c r="L1058" s="209"/>
      <c r="M1058" s="207"/>
      <c r="N1058" s="209"/>
      <c r="O1058" s="209"/>
      <c r="P1058" s="209"/>
      <c r="Q1058" s="209"/>
      <c r="R1058" s="209"/>
      <c r="S1058" s="210"/>
    </row>
    <row r="1059" spans="1:19" s="14" customFormat="1" ht="57" x14ac:dyDescent="0.7">
      <c r="A1059" s="248"/>
      <c r="B1059" s="214"/>
      <c r="C1059" s="207"/>
      <c r="D1059" s="232"/>
      <c r="E1059" s="232"/>
      <c r="F1059" s="209"/>
      <c r="G1059" s="209"/>
      <c r="H1059" s="209"/>
      <c r="I1059" s="209"/>
      <c r="J1059" s="209"/>
      <c r="K1059" s="209"/>
      <c r="L1059" s="209"/>
      <c r="M1059" s="207"/>
      <c r="N1059" s="209"/>
      <c r="O1059" s="209"/>
      <c r="P1059" s="209"/>
      <c r="Q1059" s="209"/>
      <c r="R1059" s="209"/>
      <c r="S1059" s="210"/>
    </row>
    <row r="1060" spans="1:19" s="14" customFormat="1" ht="57" x14ac:dyDescent="0.7">
      <c r="A1060" s="248"/>
      <c r="B1060" s="214"/>
      <c r="C1060" s="207"/>
      <c r="D1060" s="232"/>
      <c r="E1060" s="232"/>
      <c r="F1060" s="209"/>
      <c r="G1060" s="209"/>
      <c r="H1060" s="209"/>
      <c r="I1060" s="209"/>
      <c r="J1060" s="209"/>
      <c r="K1060" s="209"/>
      <c r="L1060" s="209"/>
      <c r="M1060" s="207"/>
      <c r="N1060" s="209"/>
      <c r="O1060" s="209"/>
      <c r="P1060" s="209"/>
      <c r="Q1060" s="209"/>
      <c r="R1060" s="209"/>
      <c r="S1060" s="210"/>
    </row>
    <row r="1061" spans="1:19" s="14" customFormat="1" ht="57" x14ac:dyDescent="0.7">
      <c r="A1061" s="248"/>
      <c r="B1061" s="214"/>
      <c r="C1061" s="207"/>
      <c r="D1061" s="232"/>
      <c r="E1061" s="232"/>
      <c r="F1061" s="209"/>
      <c r="G1061" s="209"/>
      <c r="H1061" s="209"/>
      <c r="I1061" s="209"/>
      <c r="J1061" s="209"/>
      <c r="K1061" s="209"/>
      <c r="L1061" s="209"/>
      <c r="M1061" s="207"/>
      <c r="N1061" s="209"/>
      <c r="O1061" s="209"/>
      <c r="P1061" s="209"/>
      <c r="Q1061" s="209"/>
      <c r="R1061" s="209"/>
      <c r="S1061" s="210"/>
    </row>
    <row r="1062" spans="1:19" s="14" customFormat="1" ht="57" x14ac:dyDescent="0.7">
      <c r="A1062" s="248"/>
      <c r="B1062" s="214"/>
      <c r="C1062" s="207"/>
      <c r="D1062" s="232"/>
      <c r="E1062" s="232"/>
      <c r="F1062" s="209"/>
      <c r="G1062" s="209"/>
      <c r="H1062" s="209"/>
      <c r="I1062" s="209"/>
      <c r="J1062" s="209"/>
      <c r="K1062" s="209"/>
      <c r="L1062" s="209"/>
      <c r="M1062" s="207"/>
      <c r="N1062" s="209"/>
      <c r="O1062" s="209"/>
      <c r="P1062" s="209"/>
      <c r="Q1062" s="209"/>
      <c r="R1062" s="209"/>
      <c r="S1062" s="210"/>
    </row>
    <row r="1063" spans="1:19" s="14" customFormat="1" ht="57" x14ac:dyDescent="0.7">
      <c r="A1063" s="248"/>
      <c r="B1063" s="214"/>
      <c r="C1063" s="207"/>
      <c r="D1063" s="232"/>
      <c r="E1063" s="232"/>
      <c r="F1063" s="209"/>
      <c r="G1063" s="209"/>
      <c r="H1063" s="209"/>
      <c r="I1063" s="209"/>
      <c r="J1063" s="209"/>
      <c r="K1063" s="209"/>
      <c r="L1063" s="209"/>
      <c r="M1063" s="207"/>
      <c r="N1063" s="209"/>
      <c r="O1063" s="209"/>
      <c r="P1063" s="209"/>
      <c r="Q1063" s="209"/>
      <c r="R1063" s="209"/>
      <c r="S1063" s="210"/>
    </row>
    <row r="1064" spans="1:19" s="14" customFormat="1" ht="57" x14ac:dyDescent="0.7">
      <c r="A1064" s="248"/>
      <c r="B1064" s="214"/>
      <c r="C1064" s="207"/>
      <c r="D1064" s="232"/>
      <c r="E1064" s="232"/>
      <c r="F1064" s="209"/>
      <c r="G1064" s="209"/>
      <c r="H1064" s="209"/>
      <c r="I1064" s="209"/>
      <c r="J1064" s="209"/>
      <c r="K1064" s="209"/>
      <c r="L1064" s="209"/>
      <c r="M1064" s="207"/>
      <c r="N1064" s="209"/>
      <c r="O1064" s="209"/>
      <c r="P1064" s="209"/>
      <c r="Q1064" s="209"/>
      <c r="R1064" s="209"/>
      <c r="S1064" s="210"/>
    </row>
    <row r="1065" spans="1:19" s="14" customFormat="1" ht="57" x14ac:dyDescent="0.7">
      <c r="A1065" s="248"/>
      <c r="B1065" s="214"/>
      <c r="C1065" s="207"/>
      <c r="D1065" s="232"/>
      <c r="E1065" s="232"/>
      <c r="F1065" s="209"/>
      <c r="G1065" s="209"/>
      <c r="H1065" s="209"/>
      <c r="I1065" s="209"/>
      <c r="J1065" s="209"/>
      <c r="K1065" s="209"/>
      <c r="L1065" s="209"/>
      <c r="M1065" s="207"/>
      <c r="N1065" s="209"/>
      <c r="O1065" s="209"/>
      <c r="P1065" s="209"/>
      <c r="Q1065" s="209"/>
      <c r="R1065" s="209"/>
      <c r="S1065" s="210"/>
    </row>
    <row r="1066" spans="1:19" s="14" customFormat="1" ht="57" x14ac:dyDescent="0.7">
      <c r="A1066" s="248"/>
      <c r="B1066" s="214"/>
      <c r="C1066" s="207"/>
      <c r="D1066" s="232"/>
      <c r="E1066" s="232"/>
      <c r="F1066" s="209"/>
      <c r="G1066" s="209"/>
      <c r="H1066" s="209"/>
      <c r="I1066" s="209"/>
      <c r="J1066" s="209"/>
      <c r="K1066" s="209"/>
      <c r="L1066" s="209"/>
      <c r="M1066" s="207"/>
      <c r="N1066" s="209"/>
      <c r="O1066" s="209"/>
      <c r="P1066" s="209"/>
      <c r="Q1066" s="209"/>
      <c r="R1066" s="209"/>
      <c r="S1066" s="210"/>
    </row>
    <row r="1067" spans="1:19" s="14" customFormat="1" ht="57" x14ac:dyDescent="0.7">
      <c r="A1067" s="248"/>
      <c r="B1067" s="214"/>
      <c r="C1067" s="207"/>
      <c r="D1067" s="232"/>
      <c r="E1067" s="232"/>
      <c r="F1067" s="209"/>
      <c r="G1067" s="209"/>
      <c r="H1067" s="209"/>
      <c r="I1067" s="209"/>
      <c r="J1067" s="209"/>
      <c r="K1067" s="209"/>
      <c r="L1067" s="209"/>
      <c r="M1067" s="207"/>
      <c r="N1067" s="209"/>
      <c r="O1067" s="209"/>
      <c r="P1067" s="209"/>
      <c r="Q1067" s="209"/>
      <c r="R1067" s="209"/>
      <c r="S1067" s="210"/>
    </row>
    <row r="1068" spans="1:19" s="14" customFormat="1" ht="57" x14ac:dyDescent="0.7">
      <c r="A1068" s="248"/>
      <c r="B1068" s="214"/>
      <c r="C1068" s="207"/>
      <c r="D1068" s="232"/>
      <c r="E1068" s="232"/>
      <c r="F1068" s="209"/>
      <c r="G1068" s="209"/>
      <c r="H1068" s="209"/>
      <c r="I1068" s="209"/>
      <c r="J1068" s="209"/>
      <c r="K1068" s="209"/>
      <c r="L1068" s="209"/>
      <c r="M1068" s="207"/>
      <c r="N1068" s="209"/>
      <c r="O1068" s="209"/>
      <c r="P1068" s="209"/>
      <c r="Q1068" s="209"/>
      <c r="R1068" s="209"/>
      <c r="S1068" s="210"/>
    </row>
    <row r="1069" spans="1:19" s="14" customFormat="1" ht="57" x14ac:dyDescent="0.7">
      <c r="A1069" s="248"/>
      <c r="B1069" s="214"/>
      <c r="C1069" s="207"/>
      <c r="D1069" s="232"/>
      <c r="E1069" s="232"/>
      <c r="F1069" s="209"/>
      <c r="G1069" s="209"/>
      <c r="H1069" s="209"/>
      <c r="I1069" s="209"/>
      <c r="J1069" s="209"/>
      <c r="K1069" s="209"/>
      <c r="L1069" s="209"/>
      <c r="M1069" s="207"/>
      <c r="N1069" s="209"/>
      <c r="O1069" s="209"/>
      <c r="P1069" s="209"/>
      <c r="Q1069" s="209"/>
      <c r="R1069" s="209"/>
      <c r="S1069" s="210"/>
    </row>
    <row r="1070" spans="1:19" s="14" customFormat="1" ht="57" x14ac:dyDescent="0.7">
      <c r="A1070" s="248"/>
      <c r="B1070" s="214"/>
      <c r="C1070" s="207"/>
      <c r="D1070" s="232"/>
      <c r="E1070" s="232"/>
      <c r="F1070" s="209"/>
      <c r="G1070" s="209"/>
      <c r="H1070" s="209"/>
      <c r="I1070" s="209"/>
      <c r="J1070" s="209"/>
      <c r="K1070" s="209"/>
      <c r="L1070" s="209"/>
      <c r="M1070" s="207"/>
      <c r="N1070" s="209"/>
      <c r="O1070" s="209"/>
      <c r="P1070" s="209"/>
      <c r="Q1070" s="209"/>
      <c r="R1070" s="209"/>
      <c r="S1070" s="210"/>
    </row>
    <row r="1071" spans="1:19" s="14" customFormat="1" ht="57" x14ac:dyDescent="0.7">
      <c r="A1071" s="248"/>
      <c r="B1071" s="214"/>
      <c r="C1071" s="207"/>
      <c r="D1071" s="232"/>
      <c r="E1071" s="232"/>
      <c r="F1071" s="209"/>
      <c r="G1071" s="209"/>
      <c r="H1071" s="209"/>
      <c r="I1071" s="209"/>
      <c r="J1071" s="209"/>
      <c r="K1071" s="209"/>
      <c r="L1071" s="209"/>
      <c r="M1071" s="207"/>
      <c r="N1071" s="209"/>
      <c r="O1071" s="209"/>
      <c r="P1071" s="209"/>
      <c r="Q1071" s="209"/>
      <c r="R1071" s="209"/>
      <c r="S1071" s="210"/>
    </row>
    <row r="1072" spans="1:19" s="14" customFormat="1" ht="57" x14ac:dyDescent="0.7">
      <c r="A1072" s="248"/>
      <c r="B1072" s="214"/>
      <c r="C1072" s="207"/>
      <c r="D1072" s="232"/>
      <c r="E1072" s="232"/>
      <c r="F1072" s="209"/>
      <c r="G1072" s="209"/>
      <c r="H1072" s="209"/>
      <c r="I1072" s="209"/>
      <c r="J1072" s="209"/>
      <c r="K1072" s="209"/>
      <c r="L1072" s="209"/>
      <c r="M1072" s="207"/>
      <c r="N1072" s="209"/>
      <c r="O1072" s="209"/>
      <c r="P1072" s="209"/>
      <c r="Q1072" s="209"/>
      <c r="R1072" s="209"/>
      <c r="S1072" s="210"/>
    </row>
    <row r="1073" spans="1:19" s="14" customFormat="1" ht="57" x14ac:dyDescent="0.7">
      <c r="A1073" s="248"/>
      <c r="B1073" s="214"/>
      <c r="C1073" s="207"/>
      <c r="D1073" s="232"/>
      <c r="E1073" s="232"/>
      <c r="F1073" s="209"/>
      <c r="G1073" s="209"/>
      <c r="H1073" s="209"/>
      <c r="I1073" s="209"/>
      <c r="J1073" s="209"/>
      <c r="K1073" s="209"/>
      <c r="L1073" s="209"/>
      <c r="M1073" s="207"/>
      <c r="N1073" s="209"/>
      <c r="O1073" s="209"/>
      <c r="P1073" s="209"/>
      <c r="Q1073" s="209"/>
      <c r="R1073" s="209"/>
      <c r="S1073" s="210"/>
    </row>
    <row r="1074" spans="1:19" s="14" customFormat="1" ht="57" x14ac:dyDescent="0.7">
      <c r="A1074" s="248"/>
      <c r="B1074" s="214"/>
      <c r="C1074" s="207"/>
      <c r="D1074" s="232"/>
      <c r="E1074" s="232"/>
      <c r="F1074" s="209"/>
      <c r="G1074" s="209"/>
      <c r="H1074" s="209"/>
      <c r="I1074" s="209"/>
      <c r="J1074" s="209"/>
      <c r="K1074" s="209"/>
      <c r="L1074" s="209"/>
      <c r="M1074" s="207"/>
      <c r="N1074" s="209"/>
      <c r="O1074" s="209"/>
      <c r="P1074" s="209"/>
      <c r="Q1074" s="209"/>
      <c r="R1074" s="209"/>
      <c r="S1074" s="210"/>
    </row>
    <row r="1075" spans="1:19" s="14" customFormat="1" ht="57" x14ac:dyDescent="0.7">
      <c r="A1075" s="248"/>
      <c r="B1075" s="214"/>
      <c r="C1075" s="207"/>
      <c r="D1075" s="232"/>
      <c r="E1075" s="232"/>
      <c r="F1075" s="209"/>
      <c r="G1075" s="209"/>
      <c r="H1075" s="209"/>
      <c r="I1075" s="209"/>
      <c r="J1075" s="209"/>
      <c r="K1075" s="209"/>
      <c r="L1075" s="209"/>
      <c r="M1075" s="207"/>
      <c r="N1075" s="209"/>
      <c r="O1075" s="209"/>
      <c r="P1075" s="209"/>
      <c r="Q1075" s="209"/>
      <c r="R1075" s="209"/>
      <c r="S1075" s="210"/>
    </row>
    <row r="1076" spans="1:19" s="14" customFormat="1" ht="57" x14ac:dyDescent="0.7">
      <c r="A1076" s="248"/>
      <c r="B1076" s="214"/>
      <c r="C1076" s="207"/>
      <c r="D1076" s="232"/>
      <c r="E1076" s="232"/>
      <c r="F1076" s="209"/>
      <c r="G1076" s="209"/>
      <c r="H1076" s="209"/>
      <c r="I1076" s="209"/>
      <c r="J1076" s="209"/>
      <c r="K1076" s="209"/>
      <c r="L1076" s="209"/>
      <c r="M1076" s="207"/>
      <c r="N1076" s="209"/>
      <c r="O1076" s="209"/>
      <c r="P1076" s="209"/>
      <c r="Q1076" s="209"/>
      <c r="R1076" s="209"/>
      <c r="S1076" s="210"/>
    </row>
    <row r="1077" spans="1:19" s="14" customFormat="1" ht="57" x14ac:dyDescent="0.7">
      <c r="A1077" s="248"/>
      <c r="B1077" s="214"/>
      <c r="C1077" s="207"/>
      <c r="D1077" s="232"/>
      <c r="E1077" s="232"/>
      <c r="F1077" s="209"/>
      <c r="G1077" s="209"/>
      <c r="H1077" s="209"/>
      <c r="I1077" s="209"/>
      <c r="J1077" s="209"/>
      <c r="K1077" s="209"/>
      <c r="L1077" s="209"/>
      <c r="M1077" s="207"/>
      <c r="N1077" s="209"/>
      <c r="O1077" s="209"/>
      <c r="P1077" s="209"/>
      <c r="Q1077" s="209"/>
      <c r="R1077" s="209"/>
      <c r="S1077" s="210"/>
    </row>
    <row r="1078" spans="1:19" s="14" customFormat="1" ht="57" x14ac:dyDescent="0.7">
      <c r="A1078" s="248"/>
      <c r="B1078" s="214"/>
      <c r="C1078" s="207"/>
      <c r="D1078" s="232"/>
      <c r="E1078" s="232"/>
      <c r="F1078" s="209"/>
      <c r="G1078" s="209"/>
      <c r="H1078" s="209"/>
      <c r="I1078" s="209"/>
      <c r="J1078" s="209"/>
      <c r="K1078" s="209"/>
      <c r="L1078" s="209"/>
      <c r="M1078" s="207"/>
      <c r="N1078" s="209"/>
      <c r="O1078" s="209"/>
      <c r="P1078" s="209"/>
      <c r="Q1078" s="209"/>
      <c r="R1078" s="209"/>
      <c r="S1078" s="210"/>
    </row>
    <row r="1079" spans="1:19" s="14" customFormat="1" ht="57" x14ac:dyDescent="0.7">
      <c r="A1079" s="248"/>
      <c r="B1079" s="214"/>
      <c r="C1079" s="207"/>
      <c r="D1079" s="232"/>
      <c r="E1079" s="232"/>
      <c r="F1079" s="209"/>
      <c r="G1079" s="209"/>
      <c r="H1079" s="209"/>
      <c r="I1079" s="209"/>
      <c r="J1079" s="209"/>
      <c r="K1079" s="209"/>
      <c r="L1079" s="209"/>
      <c r="M1079" s="207"/>
      <c r="N1079" s="209"/>
      <c r="O1079" s="209"/>
      <c r="P1079" s="209"/>
      <c r="Q1079" s="209"/>
      <c r="R1079" s="209"/>
      <c r="S1079" s="210"/>
    </row>
    <row r="1080" spans="1:19" s="14" customFormat="1" ht="57" x14ac:dyDescent="0.7">
      <c r="A1080" s="248"/>
      <c r="B1080" s="214"/>
      <c r="C1080" s="207"/>
      <c r="D1080" s="232"/>
      <c r="E1080" s="232"/>
      <c r="F1080" s="209"/>
      <c r="G1080" s="209"/>
      <c r="H1080" s="209"/>
      <c r="I1080" s="209"/>
      <c r="J1080" s="209"/>
      <c r="K1080" s="209"/>
      <c r="L1080" s="209"/>
      <c r="M1080" s="207"/>
      <c r="N1080" s="209"/>
      <c r="O1080" s="209"/>
      <c r="P1080" s="209"/>
      <c r="Q1080" s="209"/>
      <c r="R1080" s="209"/>
      <c r="S1080" s="210"/>
    </row>
    <row r="1081" spans="1:19" s="14" customFormat="1" ht="57" x14ac:dyDescent="0.7">
      <c r="A1081" s="248"/>
      <c r="B1081" s="214"/>
      <c r="C1081" s="207"/>
      <c r="D1081" s="232"/>
      <c r="E1081" s="232"/>
      <c r="F1081" s="209"/>
      <c r="G1081" s="209"/>
      <c r="H1081" s="209"/>
      <c r="I1081" s="209"/>
      <c r="J1081" s="209"/>
      <c r="K1081" s="209"/>
      <c r="L1081" s="209"/>
      <c r="M1081" s="207"/>
      <c r="N1081" s="209"/>
      <c r="O1081" s="209"/>
      <c r="P1081" s="209"/>
      <c r="Q1081" s="209"/>
      <c r="R1081" s="209"/>
      <c r="S1081" s="210"/>
    </row>
    <row r="1082" spans="1:19" s="14" customFormat="1" ht="57" x14ac:dyDescent="0.7">
      <c r="A1082" s="248"/>
      <c r="B1082" s="214"/>
      <c r="C1082" s="207"/>
      <c r="D1082" s="232"/>
      <c r="E1082" s="232"/>
      <c r="F1082" s="209"/>
      <c r="G1082" s="209"/>
      <c r="H1082" s="209"/>
      <c r="I1082" s="209"/>
      <c r="J1082" s="209"/>
      <c r="K1082" s="209"/>
      <c r="L1082" s="209"/>
      <c r="M1082" s="207"/>
      <c r="N1082" s="209"/>
      <c r="O1082" s="209"/>
      <c r="P1082" s="209"/>
      <c r="Q1082" s="209"/>
      <c r="R1082" s="209"/>
      <c r="S1082" s="210"/>
    </row>
    <row r="1083" spans="1:19" s="14" customFormat="1" ht="57" x14ac:dyDescent="0.7">
      <c r="A1083" s="248"/>
      <c r="B1083" s="214"/>
      <c r="C1083" s="207"/>
      <c r="D1083" s="232"/>
      <c r="E1083" s="232"/>
      <c r="F1083" s="209"/>
      <c r="G1083" s="209"/>
      <c r="H1083" s="209"/>
      <c r="I1083" s="209"/>
      <c r="J1083" s="209"/>
      <c r="K1083" s="209"/>
      <c r="L1083" s="209"/>
      <c r="M1083" s="207"/>
      <c r="N1083" s="209"/>
      <c r="O1083" s="209"/>
      <c r="P1083" s="209"/>
      <c r="Q1083" s="209"/>
      <c r="R1083" s="209"/>
      <c r="S1083" s="210"/>
    </row>
    <row r="1084" spans="1:19" s="14" customFormat="1" ht="57" x14ac:dyDescent="0.7">
      <c r="A1084" s="248"/>
      <c r="B1084" s="214"/>
      <c r="C1084" s="207"/>
      <c r="D1084" s="232"/>
      <c r="E1084" s="232"/>
      <c r="F1084" s="209"/>
      <c r="G1084" s="209"/>
      <c r="H1084" s="209"/>
      <c r="I1084" s="209"/>
      <c r="J1084" s="209"/>
      <c r="K1084" s="209"/>
      <c r="L1084" s="209"/>
      <c r="M1084" s="207"/>
      <c r="N1084" s="209"/>
      <c r="O1084" s="209"/>
      <c r="P1084" s="209"/>
      <c r="Q1084" s="209"/>
      <c r="R1084" s="209"/>
      <c r="S1084" s="210"/>
    </row>
    <row r="1085" spans="1:19" s="14" customFormat="1" ht="57" x14ac:dyDescent="0.7">
      <c r="A1085" s="248"/>
      <c r="B1085" s="214"/>
      <c r="C1085" s="207"/>
      <c r="D1085" s="232"/>
      <c r="E1085" s="232"/>
      <c r="F1085" s="209"/>
      <c r="G1085" s="209"/>
      <c r="H1085" s="209"/>
      <c r="I1085" s="209"/>
      <c r="J1085" s="209"/>
      <c r="K1085" s="209"/>
      <c r="L1085" s="209"/>
      <c r="M1085" s="207"/>
      <c r="N1085" s="209"/>
      <c r="O1085" s="209"/>
      <c r="P1085" s="209"/>
      <c r="Q1085" s="209"/>
      <c r="R1085" s="209"/>
      <c r="S1085" s="210"/>
    </row>
    <row r="1086" spans="1:19" s="14" customFormat="1" ht="57" x14ac:dyDescent="0.7">
      <c r="A1086" s="248"/>
      <c r="B1086" s="214"/>
      <c r="C1086" s="207"/>
      <c r="D1086" s="232"/>
      <c r="E1086" s="232"/>
      <c r="F1086" s="209"/>
      <c r="G1086" s="209"/>
      <c r="H1086" s="209"/>
      <c r="I1086" s="209"/>
      <c r="J1086" s="209"/>
      <c r="K1086" s="209"/>
      <c r="L1086" s="209"/>
      <c r="M1086" s="207"/>
      <c r="N1086" s="209"/>
      <c r="O1086" s="209"/>
      <c r="P1086" s="209"/>
      <c r="Q1086" s="209"/>
      <c r="R1086" s="209"/>
      <c r="S1086" s="210"/>
    </row>
    <row r="1087" spans="1:19" s="14" customFormat="1" ht="57" x14ac:dyDescent="0.7">
      <c r="A1087" s="248"/>
      <c r="B1087" s="214"/>
      <c r="C1087" s="207"/>
      <c r="D1087" s="232"/>
      <c r="E1087" s="232"/>
      <c r="F1087" s="209"/>
      <c r="G1087" s="209"/>
      <c r="H1087" s="209"/>
      <c r="I1087" s="209"/>
      <c r="J1087" s="209"/>
      <c r="K1087" s="209"/>
      <c r="L1087" s="209"/>
      <c r="M1087" s="207"/>
      <c r="N1087" s="209"/>
      <c r="O1087" s="209"/>
      <c r="P1087" s="209"/>
      <c r="Q1087" s="209"/>
      <c r="R1087" s="209"/>
      <c r="S1087" s="210"/>
    </row>
    <row r="1088" spans="1:19" s="14" customFormat="1" ht="57" x14ac:dyDescent="0.7">
      <c r="A1088" s="248"/>
      <c r="B1088" s="214"/>
      <c r="C1088" s="207"/>
      <c r="D1088" s="232"/>
      <c r="E1088" s="232"/>
      <c r="F1088" s="209"/>
      <c r="G1088" s="209"/>
      <c r="H1088" s="209"/>
      <c r="I1088" s="209"/>
      <c r="J1088" s="209"/>
      <c r="K1088" s="209"/>
      <c r="L1088" s="209"/>
      <c r="M1088" s="207"/>
      <c r="N1088" s="209"/>
      <c r="O1088" s="209"/>
      <c r="P1088" s="209"/>
      <c r="Q1088" s="209"/>
      <c r="R1088" s="209"/>
      <c r="S1088" s="210"/>
    </row>
    <row r="1089" spans="1:19" s="14" customFormat="1" ht="57" x14ac:dyDescent="0.7">
      <c r="A1089" s="248"/>
      <c r="B1089" s="214"/>
      <c r="C1089" s="207"/>
      <c r="D1089" s="232"/>
      <c r="E1089" s="232"/>
      <c r="F1089" s="209"/>
      <c r="G1089" s="209"/>
      <c r="H1089" s="209"/>
      <c r="I1089" s="209"/>
      <c r="J1089" s="209"/>
      <c r="K1089" s="209"/>
      <c r="L1089" s="209"/>
      <c r="M1089" s="207"/>
      <c r="N1089" s="209"/>
      <c r="O1089" s="209"/>
      <c r="P1089" s="209"/>
      <c r="Q1089" s="209"/>
      <c r="R1089" s="209"/>
      <c r="S1089" s="210"/>
    </row>
    <row r="1090" spans="1:19" s="14" customFormat="1" ht="57" x14ac:dyDescent="0.7">
      <c r="A1090" s="248"/>
      <c r="B1090" s="214"/>
      <c r="C1090" s="207"/>
      <c r="D1090" s="232"/>
      <c r="E1090" s="232"/>
      <c r="F1090" s="209"/>
      <c r="G1090" s="209"/>
      <c r="H1090" s="209"/>
      <c r="I1090" s="209"/>
      <c r="J1090" s="209"/>
      <c r="K1090" s="209"/>
      <c r="L1090" s="209"/>
      <c r="M1090" s="207"/>
      <c r="N1090" s="209"/>
      <c r="O1090" s="209"/>
      <c r="P1090" s="209"/>
      <c r="Q1090" s="209"/>
      <c r="R1090" s="209"/>
      <c r="S1090" s="210"/>
    </row>
    <row r="1091" spans="1:19" s="14" customFormat="1" ht="57" x14ac:dyDescent="0.7">
      <c r="A1091" s="248"/>
      <c r="B1091" s="214"/>
      <c r="C1091" s="207"/>
      <c r="D1091" s="232"/>
      <c r="E1091" s="232"/>
      <c r="F1091" s="209"/>
      <c r="G1091" s="209"/>
      <c r="H1091" s="209"/>
      <c r="I1091" s="209"/>
      <c r="J1091" s="209"/>
      <c r="K1091" s="209"/>
      <c r="L1091" s="209"/>
      <c r="M1091" s="207"/>
      <c r="N1091" s="209"/>
      <c r="O1091" s="209"/>
      <c r="P1091" s="209"/>
      <c r="Q1091" s="209"/>
      <c r="R1091" s="209"/>
      <c r="S1091" s="210"/>
    </row>
    <row r="1092" spans="1:19" s="14" customFormat="1" ht="57" x14ac:dyDescent="0.7">
      <c r="A1092" s="248"/>
      <c r="B1092" s="214"/>
      <c r="C1092" s="207"/>
      <c r="D1092" s="232"/>
      <c r="E1092" s="232"/>
      <c r="F1092" s="209"/>
      <c r="G1092" s="209"/>
      <c r="H1092" s="209"/>
      <c r="I1092" s="209"/>
      <c r="J1092" s="209"/>
      <c r="K1092" s="209"/>
      <c r="L1092" s="209"/>
      <c r="M1092" s="207"/>
      <c r="N1092" s="209"/>
      <c r="O1092" s="209"/>
      <c r="P1092" s="209"/>
      <c r="Q1092" s="209"/>
      <c r="R1092" s="209"/>
      <c r="S1092" s="210"/>
    </row>
    <row r="1093" spans="1:19" s="14" customFormat="1" ht="57" x14ac:dyDescent="0.7">
      <c r="A1093" s="248"/>
      <c r="B1093" s="214"/>
      <c r="C1093" s="207"/>
      <c r="D1093" s="232"/>
      <c r="E1093" s="232"/>
      <c r="F1093" s="209"/>
      <c r="G1093" s="209"/>
      <c r="H1093" s="209"/>
      <c r="I1093" s="209"/>
      <c r="J1093" s="209"/>
      <c r="K1093" s="209"/>
      <c r="L1093" s="209"/>
      <c r="M1093" s="207"/>
      <c r="N1093" s="209"/>
      <c r="O1093" s="209"/>
      <c r="P1093" s="209"/>
      <c r="Q1093" s="209"/>
      <c r="R1093" s="209"/>
      <c r="S1093" s="210"/>
    </row>
    <row r="1094" spans="1:19" s="14" customFormat="1" ht="57" x14ac:dyDescent="0.7">
      <c r="A1094" s="248"/>
      <c r="B1094" s="214"/>
      <c r="C1094" s="207"/>
      <c r="D1094" s="232"/>
      <c r="E1094" s="232"/>
      <c r="F1094" s="209"/>
      <c r="G1094" s="209"/>
      <c r="H1094" s="209"/>
      <c r="I1094" s="209"/>
      <c r="J1094" s="209"/>
      <c r="K1094" s="209"/>
      <c r="L1094" s="209"/>
      <c r="M1094" s="207"/>
      <c r="N1094" s="209"/>
      <c r="O1094" s="209"/>
      <c r="P1094" s="209"/>
      <c r="Q1094" s="209"/>
      <c r="R1094" s="209"/>
      <c r="S1094" s="210"/>
    </row>
    <row r="1095" spans="1:19" s="14" customFormat="1" ht="57" x14ac:dyDescent="0.7">
      <c r="A1095" s="248"/>
      <c r="B1095" s="214"/>
      <c r="C1095" s="207"/>
      <c r="D1095" s="232"/>
      <c r="E1095" s="232"/>
      <c r="F1095" s="209"/>
      <c r="G1095" s="209"/>
      <c r="H1095" s="209"/>
      <c r="I1095" s="209"/>
      <c r="J1095" s="209"/>
      <c r="K1095" s="209"/>
      <c r="L1095" s="209"/>
      <c r="M1095" s="207"/>
      <c r="N1095" s="209"/>
      <c r="O1095" s="209"/>
      <c r="P1095" s="209"/>
      <c r="Q1095" s="209"/>
      <c r="R1095" s="209"/>
      <c r="S1095" s="210"/>
    </row>
    <row r="1096" spans="1:19" s="14" customFormat="1" ht="57" x14ac:dyDescent="0.7">
      <c r="A1096" s="248"/>
      <c r="B1096" s="214"/>
      <c r="C1096" s="207"/>
      <c r="D1096" s="232"/>
      <c r="E1096" s="232"/>
      <c r="F1096" s="209"/>
      <c r="G1096" s="209"/>
      <c r="H1096" s="209"/>
      <c r="I1096" s="209"/>
      <c r="J1096" s="209"/>
      <c r="K1096" s="209"/>
      <c r="L1096" s="209"/>
      <c r="M1096" s="207"/>
      <c r="N1096" s="209"/>
      <c r="O1096" s="209"/>
      <c r="P1096" s="209"/>
      <c r="Q1096" s="209"/>
      <c r="R1096" s="209"/>
      <c r="S1096" s="210"/>
    </row>
    <row r="1097" spans="1:19" s="14" customFormat="1" ht="57" x14ac:dyDescent="0.7">
      <c r="A1097" s="248"/>
      <c r="B1097" s="214"/>
      <c r="C1097" s="207"/>
      <c r="D1097" s="232"/>
      <c r="E1097" s="232"/>
      <c r="F1097" s="209"/>
      <c r="G1097" s="209"/>
      <c r="H1097" s="209"/>
      <c r="I1097" s="209"/>
      <c r="J1097" s="209"/>
      <c r="K1097" s="209"/>
      <c r="L1097" s="209"/>
      <c r="M1097" s="207"/>
      <c r="N1097" s="209"/>
      <c r="O1097" s="209"/>
      <c r="P1097" s="209"/>
      <c r="Q1097" s="209"/>
      <c r="R1097" s="209"/>
      <c r="S1097" s="210"/>
    </row>
    <row r="1098" spans="1:19" s="14" customFormat="1" ht="57" x14ac:dyDescent="0.7">
      <c r="A1098" s="248"/>
      <c r="B1098" s="214"/>
      <c r="C1098" s="207"/>
      <c r="D1098" s="232"/>
      <c r="E1098" s="232"/>
      <c r="F1098" s="209"/>
      <c r="G1098" s="209"/>
      <c r="H1098" s="209"/>
      <c r="I1098" s="209"/>
      <c r="J1098" s="209"/>
      <c r="K1098" s="209"/>
      <c r="L1098" s="209"/>
      <c r="M1098" s="207"/>
      <c r="N1098" s="209"/>
      <c r="O1098" s="209"/>
      <c r="P1098" s="209"/>
      <c r="Q1098" s="209"/>
      <c r="R1098" s="209"/>
      <c r="S1098" s="210"/>
    </row>
    <row r="1099" spans="1:19" s="14" customFormat="1" ht="57" x14ac:dyDescent="0.7">
      <c r="A1099" s="248"/>
      <c r="B1099" s="214"/>
      <c r="C1099" s="207"/>
      <c r="D1099" s="232"/>
      <c r="E1099" s="232"/>
      <c r="F1099" s="209"/>
      <c r="G1099" s="209"/>
      <c r="H1099" s="209"/>
      <c r="I1099" s="209"/>
      <c r="J1099" s="209"/>
      <c r="K1099" s="209"/>
      <c r="L1099" s="209"/>
      <c r="M1099" s="207"/>
      <c r="N1099" s="209"/>
      <c r="O1099" s="209"/>
      <c r="P1099" s="209"/>
      <c r="Q1099" s="209"/>
      <c r="R1099" s="209"/>
      <c r="S1099" s="210"/>
    </row>
    <row r="1100" spans="1:19" s="14" customFormat="1" ht="57" x14ac:dyDescent="0.7">
      <c r="A1100" s="248"/>
      <c r="B1100" s="214"/>
      <c r="C1100" s="207"/>
      <c r="D1100" s="232"/>
      <c r="E1100" s="232"/>
      <c r="F1100" s="209"/>
      <c r="G1100" s="209"/>
      <c r="H1100" s="209"/>
      <c r="I1100" s="209"/>
      <c r="J1100" s="209"/>
      <c r="K1100" s="209"/>
      <c r="L1100" s="209"/>
      <c r="M1100" s="207"/>
      <c r="N1100" s="209"/>
      <c r="O1100" s="209"/>
      <c r="P1100" s="209"/>
      <c r="Q1100" s="209"/>
      <c r="R1100" s="209"/>
      <c r="S1100" s="210"/>
    </row>
    <row r="1101" spans="1:19" s="14" customFormat="1" ht="57" x14ac:dyDescent="0.7">
      <c r="A1101" s="248"/>
      <c r="B1101" s="214"/>
      <c r="C1101" s="207"/>
      <c r="D1101" s="232"/>
      <c r="E1101" s="232"/>
      <c r="F1101" s="209"/>
      <c r="G1101" s="209"/>
      <c r="H1101" s="209"/>
      <c r="I1101" s="209"/>
      <c r="J1101" s="209"/>
      <c r="K1101" s="209"/>
      <c r="L1101" s="209"/>
      <c r="M1101" s="207"/>
      <c r="N1101" s="209"/>
      <c r="O1101" s="209"/>
      <c r="P1101" s="209"/>
      <c r="Q1101" s="209"/>
      <c r="R1101" s="209"/>
      <c r="S1101" s="210"/>
    </row>
    <row r="1102" spans="1:19" s="14" customFormat="1" ht="57" x14ac:dyDescent="0.7">
      <c r="A1102" s="248"/>
      <c r="B1102" s="214"/>
      <c r="C1102" s="207"/>
      <c r="D1102" s="232"/>
      <c r="E1102" s="232"/>
      <c r="F1102" s="209"/>
      <c r="G1102" s="209"/>
      <c r="H1102" s="209"/>
      <c r="I1102" s="209"/>
      <c r="J1102" s="209"/>
      <c r="K1102" s="209"/>
      <c r="L1102" s="209"/>
      <c r="M1102" s="207"/>
      <c r="N1102" s="209"/>
      <c r="O1102" s="209"/>
      <c r="P1102" s="209"/>
      <c r="Q1102" s="209"/>
      <c r="R1102" s="209"/>
      <c r="S1102" s="210"/>
    </row>
    <row r="1103" spans="1:19" s="14" customFormat="1" ht="57" x14ac:dyDescent="0.7">
      <c r="A1103" s="248"/>
      <c r="B1103" s="214"/>
      <c r="C1103" s="207"/>
      <c r="D1103" s="232"/>
      <c r="E1103" s="232"/>
      <c r="F1103" s="209"/>
      <c r="G1103" s="209"/>
      <c r="H1103" s="209"/>
      <c r="I1103" s="209"/>
      <c r="J1103" s="209"/>
      <c r="K1103" s="209"/>
      <c r="L1103" s="209"/>
      <c r="M1103" s="207"/>
      <c r="N1103" s="209"/>
      <c r="O1103" s="209"/>
      <c r="P1103" s="209"/>
      <c r="Q1103" s="209"/>
      <c r="R1103" s="209"/>
      <c r="S1103" s="210"/>
    </row>
    <row r="1104" spans="1:19" s="14" customFormat="1" ht="57" x14ac:dyDescent="0.7">
      <c r="A1104" s="248"/>
      <c r="B1104" s="214"/>
      <c r="C1104" s="207"/>
      <c r="D1104" s="232"/>
      <c r="E1104" s="232"/>
      <c r="F1104" s="209"/>
      <c r="G1104" s="209"/>
      <c r="H1104" s="209"/>
      <c r="I1104" s="209"/>
      <c r="J1104" s="209"/>
      <c r="K1104" s="209"/>
      <c r="L1104" s="209"/>
      <c r="M1104" s="207"/>
      <c r="N1104" s="209"/>
      <c r="O1104" s="209"/>
      <c r="P1104" s="209"/>
      <c r="Q1104" s="209"/>
      <c r="R1104" s="209"/>
      <c r="S1104" s="210"/>
    </row>
    <row r="1105" spans="1:19" s="14" customFormat="1" ht="57" x14ac:dyDescent="0.7">
      <c r="A1105" s="248"/>
      <c r="B1105" s="214"/>
      <c r="C1105" s="207"/>
      <c r="D1105" s="232"/>
      <c r="E1105" s="232"/>
      <c r="F1105" s="209"/>
      <c r="G1105" s="209"/>
      <c r="H1105" s="209"/>
      <c r="I1105" s="209"/>
      <c r="J1105" s="209"/>
      <c r="K1105" s="209"/>
      <c r="L1105" s="209"/>
      <c r="M1105" s="207"/>
      <c r="N1105" s="209"/>
      <c r="O1105" s="209"/>
      <c r="P1105" s="209"/>
      <c r="Q1105" s="209"/>
      <c r="R1105" s="209"/>
      <c r="S1105" s="210"/>
    </row>
    <row r="1106" spans="1:19" s="14" customFormat="1" ht="57" x14ac:dyDescent="0.7">
      <c r="A1106" s="248"/>
      <c r="B1106" s="214"/>
      <c r="C1106" s="207"/>
      <c r="D1106" s="232"/>
      <c r="E1106" s="232"/>
      <c r="F1106" s="209"/>
      <c r="G1106" s="209"/>
      <c r="H1106" s="209"/>
      <c r="I1106" s="209"/>
      <c r="J1106" s="209"/>
      <c r="K1106" s="209"/>
      <c r="L1106" s="209"/>
      <c r="M1106" s="207"/>
      <c r="N1106" s="209"/>
      <c r="O1106" s="209"/>
      <c r="P1106" s="209"/>
      <c r="Q1106" s="209"/>
      <c r="R1106" s="209"/>
      <c r="S1106" s="210"/>
    </row>
    <row r="1107" spans="1:19" s="14" customFormat="1" ht="57" x14ac:dyDescent="0.7">
      <c r="A1107" s="248"/>
      <c r="B1107" s="214"/>
      <c r="C1107" s="207"/>
      <c r="D1107" s="232"/>
      <c r="E1107" s="232"/>
      <c r="F1107" s="209"/>
      <c r="G1107" s="209"/>
      <c r="H1107" s="209"/>
      <c r="I1107" s="209"/>
      <c r="J1107" s="209"/>
      <c r="K1107" s="209"/>
      <c r="L1107" s="209"/>
      <c r="M1107" s="207"/>
      <c r="N1107" s="209"/>
      <c r="O1107" s="209"/>
      <c r="P1107" s="209"/>
      <c r="Q1107" s="209"/>
      <c r="R1107" s="209"/>
      <c r="S1107" s="210"/>
    </row>
    <row r="1108" spans="1:19" s="14" customFormat="1" ht="57" x14ac:dyDescent="0.7">
      <c r="A1108" s="248"/>
      <c r="B1108" s="214"/>
      <c r="C1108" s="207"/>
      <c r="D1108" s="232"/>
      <c r="E1108" s="232"/>
      <c r="F1108" s="209"/>
      <c r="G1108" s="209"/>
      <c r="H1108" s="209"/>
      <c r="I1108" s="209"/>
      <c r="J1108" s="209"/>
      <c r="K1108" s="209"/>
      <c r="L1108" s="209"/>
      <c r="M1108" s="207"/>
      <c r="N1108" s="209"/>
      <c r="O1108" s="209"/>
      <c r="P1108" s="209"/>
      <c r="Q1108" s="209"/>
      <c r="R1108" s="209"/>
      <c r="S1108" s="210"/>
    </row>
    <row r="1109" spans="1:19" s="14" customFormat="1" ht="57" x14ac:dyDescent="0.7">
      <c r="A1109" s="248"/>
      <c r="B1109" s="214"/>
      <c r="C1109" s="207"/>
      <c r="D1109" s="232"/>
      <c r="E1109" s="232"/>
      <c r="F1109" s="209"/>
      <c r="G1109" s="209"/>
      <c r="H1109" s="209"/>
      <c r="I1109" s="209"/>
      <c r="J1109" s="209"/>
      <c r="K1109" s="209"/>
      <c r="L1109" s="209"/>
      <c r="M1109" s="207"/>
      <c r="N1109" s="209"/>
      <c r="O1109" s="209"/>
      <c r="P1109" s="209"/>
      <c r="Q1109" s="209"/>
      <c r="R1109" s="209"/>
      <c r="S1109" s="210"/>
    </row>
    <row r="1110" spans="1:19" s="14" customFormat="1" ht="57" x14ac:dyDescent="0.7">
      <c r="A1110" s="248"/>
      <c r="B1110" s="214"/>
      <c r="C1110" s="207"/>
      <c r="D1110" s="232"/>
      <c r="E1110" s="232"/>
      <c r="F1110" s="209"/>
      <c r="G1110" s="209"/>
      <c r="H1110" s="209"/>
      <c r="I1110" s="209"/>
      <c r="J1110" s="209"/>
      <c r="K1110" s="209"/>
      <c r="L1110" s="209"/>
      <c r="M1110" s="207"/>
      <c r="N1110" s="209"/>
      <c r="O1110" s="209"/>
      <c r="P1110" s="209"/>
      <c r="Q1110" s="209"/>
      <c r="R1110" s="209"/>
      <c r="S1110" s="210"/>
    </row>
    <row r="1111" spans="1:19" s="14" customFormat="1" ht="57" x14ac:dyDescent="0.7">
      <c r="A1111" s="248"/>
      <c r="B1111" s="214"/>
      <c r="C1111" s="207"/>
      <c r="D1111" s="232"/>
      <c r="E1111" s="232"/>
      <c r="F1111" s="209"/>
      <c r="G1111" s="209"/>
      <c r="H1111" s="209"/>
      <c r="I1111" s="209"/>
      <c r="J1111" s="209"/>
      <c r="K1111" s="209"/>
      <c r="L1111" s="209"/>
      <c r="M1111" s="207"/>
      <c r="N1111" s="209"/>
      <c r="O1111" s="209"/>
      <c r="P1111" s="209"/>
      <c r="Q1111" s="209"/>
      <c r="R1111" s="209"/>
      <c r="S1111" s="210"/>
    </row>
    <row r="1112" spans="1:19" s="14" customFormat="1" ht="57" x14ac:dyDescent="0.7">
      <c r="A1112" s="248"/>
      <c r="B1112" s="214"/>
      <c r="C1112" s="207"/>
      <c r="D1112" s="232"/>
      <c r="E1112" s="232"/>
      <c r="F1112" s="209"/>
      <c r="G1112" s="209"/>
      <c r="H1112" s="209"/>
      <c r="I1112" s="209"/>
      <c r="J1112" s="209"/>
      <c r="K1112" s="209"/>
      <c r="L1112" s="209"/>
      <c r="M1112" s="207"/>
      <c r="N1112" s="209"/>
      <c r="O1112" s="209"/>
      <c r="P1112" s="209"/>
      <c r="Q1112" s="209"/>
      <c r="R1112" s="209"/>
      <c r="S1112" s="210"/>
    </row>
    <row r="1113" spans="1:19" s="14" customFormat="1" ht="57" x14ac:dyDescent="0.7">
      <c r="A1113" s="248"/>
      <c r="B1113" s="214"/>
      <c r="C1113" s="207"/>
      <c r="D1113" s="232"/>
      <c r="E1113" s="232"/>
      <c r="F1113" s="209"/>
      <c r="G1113" s="209"/>
      <c r="H1113" s="209"/>
      <c r="I1113" s="209"/>
      <c r="J1113" s="209"/>
      <c r="K1113" s="209"/>
      <c r="L1113" s="209"/>
      <c r="M1113" s="207"/>
      <c r="N1113" s="209"/>
      <c r="O1113" s="209"/>
      <c r="P1113" s="209"/>
      <c r="Q1113" s="209"/>
      <c r="R1113" s="209"/>
      <c r="S1113" s="210"/>
    </row>
    <row r="1114" spans="1:19" s="14" customFormat="1" ht="57" x14ac:dyDescent="0.7">
      <c r="A1114" s="248"/>
      <c r="B1114" s="214"/>
      <c r="C1114" s="207"/>
      <c r="D1114" s="232"/>
      <c r="E1114" s="232"/>
      <c r="F1114" s="209"/>
      <c r="G1114" s="209"/>
      <c r="H1114" s="209"/>
      <c r="I1114" s="209"/>
      <c r="J1114" s="209"/>
      <c r="K1114" s="209"/>
      <c r="L1114" s="209"/>
      <c r="M1114" s="207"/>
      <c r="N1114" s="209"/>
      <c r="O1114" s="209"/>
      <c r="P1114" s="209"/>
      <c r="Q1114" s="209"/>
      <c r="R1114" s="209"/>
      <c r="S1114" s="210"/>
    </row>
    <row r="1115" spans="1:19" s="14" customFormat="1" ht="57" x14ac:dyDescent="0.7">
      <c r="A1115" s="248"/>
      <c r="B1115" s="214"/>
      <c r="C1115" s="207"/>
      <c r="D1115" s="232"/>
      <c r="E1115" s="232"/>
      <c r="F1115" s="209"/>
      <c r="G1115" s="209"/>
      <c r="H1115" s="209"/>
      <c r="I1115" s="209"/>
      <c r="J1115" s="209"/>
      <c r="K1115" s="209"/>
      <c r="L1115" s="209"/>
      <c r="M1115" s="207"/>
      <c r="N1115" s="209"/>
      <c r="O1115" s="209"/>
      <c r="P1115" s="209"/>
      <c r="Q1115" s="209"/>
      <c r="R1115" s="209"/>
      <c r="S1115" s="210"/>
    </row>
    <row r="1116" spans="1:19" s="14" customFormat="1" ht="57" x14ac:dyDescent="0.7">
      <c r="A1116" s="248"/>
      <c r="B1116" s="214"/>
      <c r="C1116" s="207"/>
      <c r="D1116" s="232"/>
      <c r="E1116" s="232"/>
      <c r="F1116" s="209"/>
      <c r="G1116" s="209"/>
      <c r="H1116" s="209"/>
      <c r="I1116" s="209"/>
      <c r="J1116" s="209"/>
      <c r="K1116" s="209"/>
      <c r="L1116" s="209"/>
      <c r="M1116" s="207"/>
      <c r="N1116" s="209"/>
      <c r="O1116" s="209"/>
      <c r="P1116" s="209"/>
      <c r="Q1116" s="209"/>
      <c r="R1116" s="209"/>
      <c r="S1116" s="210"/>
    </row>
    <row r="1117" spans="1:19" s="14" customFormat="1" ht="57" x14ac:dyDescent="0.7">
      <c r="A1117" s="248"/>
      <c r="B1117" s="214"/>
      <c r="C1117" s="207"/>
      <c r="D1117" s="232"/>
      <c r="E1117" s="232"/>
      <c r="F1117" s="209"/>
      <c r="G1117" s="209"/>
      <c r="H1117" s="209"/>
      <c r="I1117" s="209"/>
      <c r="J1117" s="209"/>
      <c r="K1117" s="209"/>
      <c r="L1117" s="209"/>
      <c r="M1117" s="207"/>
      <c r="N1117" s="209"/>
      <c r="O1117" s="209"/>
      <c r="P1117" s="209"/>
      <c r="Q1117" s="209"/>
      <c r="R1117" s="209"/>
      <c r="S1117" s="210"/>
    </row>
    <row r="1118" spans="1:19" s="14" customFormat="1" ht="57" x14ac:dyDescent="0.7">
      <c r="A1118" s="248"/>
      <c r="B1118" s="214"/>
      <c r="C1118" s="207"/>
      <c r="D1118" s="232"/>
      <c r="E1118" s="232"/>
      <c r="F1118" s="209"/>
      <c r="G1118" s="209"/>
      <c r="H1118" s="209"/>
      <c r="I1118" s="209"/>
      <c r="J1118" s="209"/>
      <c r="K1118" s="209"/>
      <c r="L1118" s="209"/>
      <c r="M1118" s="207"/>
      <c r="N1118" s="209"/>
      <c r="O1118" s="209"/>
      <c r="P1118" s="209"/>
      <c r="Q1118" s="209"/>
      <c r="R1118" s="209"/>
      <c r="S1118" s="210"/>
    </row>
    <row r="1119" spans="1:19" s="14" customFormat="1" ht="57" x14ac:dyDescent="0.7">
      <c r="A1119" s="248"/>
      <c r="B1119" s="214"/>
      <c r="C1119" s="207"/>
      <c r="D1119" s="232"/>
      <c r="E1119" s="232"/>
      <c r="F1119" s="209"/>
      <c r="G1119" s="209"/>
      <c r="H1119" s="209"/>
      <c r="I1119" s="209"/>
      <c r="J1119" s="209"/>
      <c r="K1119" s="209"/>
      <c r="L1119" s="209"/>
      <c r="M1119" s="207"/>
      <c r="N1119" s="209"/>
      <c r="O1119" s="209"/>
      <c r="P1119" s="209"/>
      <c r="Q1119" s="209"/>
      <c r="R1119" s="209"/>
      <c r="S1119" s="210"/>
    </row>
    <row r="1120" spans="1:19" s="14" customFormat="1" ht="57" x14ac:dyDescent="0.7">
      <c r="A1120" s="248"/>
      <c r="B1120" s="214"/>
      <c r="C1120" s="207"/>
      <c r="D1120" s="232"/>
      <c r="E1120" s="232"/>
      <c r="F1120" s="209"/>
      <c r="G1120" s="209"/>
      <c r="H1120" s="209"/>
      <c r="I1120" s="209"/>
      <c r="J1120" s="209"/>
      <c r="K1120" s="209"/>
      <c r="L1120" s="209"/>
      <c r="M1120" s="207"/>
      <c r="N1120" s="209"/>
      <c r="O1120" s="209"/>
      <c r="P1120" s="209"/>
      <c r="Q1120" s="209"/>
      <c r="R1120" s="209"/>
      <c r="S1120" s="210"/>
    </row>
    <row r="1121" spans="1:19" s="14" customFormat="1" ht="57" x14ac:dyDescent="0.7">
      <c r="A1121" s="248"/>
      <c r="B1121" s="214"/>
      <c r="C1121" s="207"/>
      <c r="D1121" s="232"/>
      <c r="E1121" s="232"/>
      <c r="F1121" s="209"/>
      <c r="G1121" s="209"/>
      <c r="H1121" s="209"/>
      <c r="I1121" s="209"/>
      <c r="J1121" s="209"/>
      <c r="K1121" s="209"/>
      <c r="L1121" s="209"/>
      <c r="M1121" s="207"/>
      <c r="N1121" s="209"/>
      <c r="O1121" s="209"/>
      <c r="P1121" s="209"/>
      <c r="Q1121" s="209"/>
      <c r="R1121" s="209"/>
      <c r="S1121" s="210"/>
    </row>
    <row r="1122" spans="1:19" s="14" customFormat="1" ht="57" x14ac:dyDescent="0.7">
      <c r="A1122" s="248"/>
      <c r="B1122" s="214"/>
      <c r="C1122" s="207"/>
      <c r="D1122" s="232"/>
      <c r="E1122" s="232"/>
      <c r="F1122" s="209"/>
      <c r="G1122" s="209"/>
      <c r="H1122" s="209"/>
      <c r="I1122" s="209"/>
      <c r="J1122" s="209"/>
      <c r="K1122" s="209"/>
      <c r="L1122" s="209"/>
      <c r="M1122" s="207"/>
      <c r="N1122" s="209"/>
      <c r="O1122" s="209"/>
      <c r="P1122" s="209"/>
      <c r="Q1122" s="209"/>
      <c r="R1122" s="209"/>
      <c r="S1122" s="210"/>
    </row>
    <row r="1123" spans="1:19" s="14" customFormat="1" ht="57" x14ac:dyDescent="0.7">
      <c r="A1123" s="248"/>
      <c r="B1123" s="214"/>
      <c r="C1123" s="207"/>
      <c r="D1123" s="232"/>
      <c r="E1123" s="232"/>
      <c r="F1123" s="209"/>
      <c r="G1123" s="209"/>
      <c r="H1123" s="209"/>
      <c r="I1123" s="209"/>
      <c r="J1123" s="209"/>
      <c r="K1123" s="209"/>
      <c r="L1123" s="209"/>
      <c r="M1123" s="207"/>
      <c r="N1123" s="209"/>
      <c r="O1123" s="209"/>
      <c r="P1123" s="209"/>
      <c r="Q1123" s="209"/>
      <c r="R1123" s="209"/>
      <c r="S1123" s="210"/>
    </row>
    <row r="1124" spans="1:19" s="14" customFormat="1" ht="57" x14ac:dyDescent="0.7">
      <c r="A1124" s="248"/>
      <c r="B1124" s="214"/>
      <c r="C1124" s="207"/>
      <c r="D1124" s="232"/>
      <c r="E1124" s="232"/>
      <c r="F1124" s="209"/>
      <c r="G1124" s="209"/>
      <c r="H1124" s="209"/>
      <c r="I1124" s="209"/>
      <c r="J1124" s="209"/>
      <c r="K1124" s="209"/>
      <c r="L1124" s="209"/>
      <c r="M1124" s="207"/>
      <c r="N1124" s="209"/>
      <c r="O1124" s="209"/>
      <c r="P1124" s="209"/>
      <c r="Q1124" s="209"/>
      <c r="R1124" s="209"/>
      <c r="S1124" s="210"/>
    </row>
    <row r="1125" spans="1:19" s="14" customFormat="1" ht="57" x14ac:dyDescent="0.7">
      <c r="A1125" s="248"/>
      <c r="B1125" s="214"/>
      <c r="C1125" s="207"/>
      <c r="D1125" s="232"/>
      <c r="E1125" s="232"/>
      <c r="F1125" s="209"/>
      <c r="G1125" s="209"/>
      <c r="H1125" s="209"/>
      <c r="I1125" s="209"/>
      <c r="J1125" s="209"/>
      <c r="K1125" s="209"/>
      <c r="L1125" s="209"/>
      <c r="M1125" s="207"/>
      <c r="N1125" s="209"/>
      <c r="O1125" s="209"/>
      <c r="P1125" s="209"/>
      <c r="Q1125" s="209"/>
      <c r="R1125" s="209"/>
      <c r="S1125" s="210"/>
    </row>
    <row r="1126" spans="1:19" s="14" customFormat="1" ht="57" x14ac:dyDescent="0.7">
      <c r="A1126" s="248"/>
      <c r="B1126" s="214"/>
      <c r="C1126" s="207"/>
      <c r="D1126" s="232"/>
      <c r="E1126" s="232"/>
      <c r="F1126" s="209"/>
      <c r="G1126" s="209"/>
      <c r="H1126" s="209"/>
      <c r="I1126" s="209"/>
      <c r="J1126" s="209"/>
      <c r="K1126" s="209"/>
      <c r="L1126" s="209"/>
      <c r="M1126" s="207"/>
      <c r="N1126" s="209"/>
      <c r="O1126" s="209"/>
      <c r="P1126" s="209"/>
      <c r="Q1126" s="209"/>
      <c r="R1126" s="209"/>
      <c r="S1126" s="210"/>
    </row>
    <row r="1127" spans="1:19" s="14" customFormat="1" ht="57" x14ac:dyDescent="0.7">
      <c r="A1127" s="248"/>
      <c r="B1127" s="214"/>
      <c r="C1127" s="207"/>
      <c r="D1127" s="232"/>
      <c r="E1127" s="232"/>
      <c r="F1127" s="209"/>
      <c r="G1127" s="209"/>
      <c r="H1127" s="209"/>
      <c r="I1127" s="209"/>
      <c r="J1127" s="209"/>
      <c r="K1127" s="209"/>
      <c r="L1127" s="209"/>
      <c r="M1127" s="207"/>
      <c r="N1127" s="209"/>
      <c r="O1127" s="209"/>
      <c r="P1127" s="209"/>
      <c r="Q1127" s="209"/>
      <c r="R1127" s="209"/>
      <c r="S1127" s="210"/>
    </row>
    <row r="1128" spans="1:19" s="14" customFormat="1" ht="57" x14ac:dyDescent="0.7">
      <c r="A1128" s="248"/>
      <c r="B1128" s="214"/>
      <c r="C1128" s="207"/>
      <c r="D1128" s="232"/>
      <c r="E1128" s="232"/>
      <c r="F1128" s="209"/>
      <c r="G1128" s="209"/>
      <c r="H1128" s="209"/>
      <c r="I1128" s="209"/>
      <c r="J1128" s="209"/>
      <c r="K1128" s="209"/>
      <c r="L1128" s="209"/>
      <c r="M1128" s="207"/>
      <c r="N1128" s="209"/>
      <c r="O1128" s="209"/>
      <c r="P1128" s="209"/>
      <c r="Q1128" s="209"/>
      <c r="R1128" s="209"/>
      <c r="S1128" s="210"/>
    </row>
    <row r="1129" spans="1:19" s="14" customFormat="1" ht="57" x14ac:dyDescent="0.7">
      <c r="A1129" s="248"/>
      <c r="B1129" s="214"/>
      <c r="C1129" s="207"/>
      <c r="D1129" s="232"/>
      <c r="E1129" s="232"/>
      <c r="F1129" s="209"/>
      <c r="G1129" s="209"/>
      <c r="H1129" s="209"/>
      <c r="I1129" s="209"/>
      <c r="J1129" s="209"/>
      <c r="K1129" s="209"/>
      <c r="L1129" s="209"/>
      <c r="M1129" s="207"/>
      <c r="N1129" s="209"/>
      <c r="O1129" s="209"/>
      <c r="P1129" s="209"/>
      <c r="Q1129" s="209"/>
      <c r="R1129" s="209"/>
      <c r="S1129" s="210"/>
    </row>
    <row r="1130" spans="1:19" s="14" customFormat="1" ht="57" x14ac:dyDescent="0.7">
      <c r="A1130" s="248"/>
      <c r="B1130" s="214"/>
      <c r="C1130" s="207"/>
      <c r="D1130" s="232"/>
      <c r="E1130" s="232"/>
      <c r="F1130" s="209"/>
      <c r="G1130" s="209"/>
      <c r="H1130" s="209"/>
      <c r="I1130" s="209"/>
      <c r="J1130" s="209"/>
      <c r="K1130" s="209"/>
      <c r="L1130" s="209"/>
      <c r="M1130" s="207"/>
      <c r="N1130" s="209"/>
      <c r="O1130" s="209"/>
      <c r="P1130" s="209"/>
      <c r="Q1130" s="209"/>
      <c r="R1130" s="209"/>
      <c r="S1130" s="210"/>
    </row>
    <row r="1131" spans="1:19" s="14" customFormat="1" ht="57" x14ac:dyDescent="0.7">
      <c r="A1131" s="248"/>
      <c r="B1131" s="214"/>
      <c r="C1131" s="207"/>
      <c r="D1131" s="232"/>
      <c r="E1131" s="232"/>
      <c r="F1131" s="209"/>
      <c r="G1131" s="209"/>
      <c r="H1131" s="209"/>
      <c r="I1131" s="209"/>
      <c r="J1131" s="209"/>
      <c r="K1131" s="209"/>
      <c r="L1131" s="209"/>
      <c r="M1131" s="207"/>
      <c r="N1131" s="209"/>
      <c r="O1131" s="209"/>
      <c r="P1131" s="209"/>
      <c r="Q1131" s="209"/>
      <c r="R1131" s="209"/>
      <c r="S1131" s="210"/>
    </row>
    <row r="1132" spans="1:19" s="14" customFormat="1" ht="57" x14ac:dyDescent="0.7">
      <c r="A1132" s="248"/>
      <c r="B1132" s="214"/>
      <c r="C1132" s="207"/>
      <c r="D1132" s="232"/>
      <c r="E1132" s="232"/>
      <c r="F1132" s="209"/>
      <c r="G1132" s="209"/>
      <c r="H1132" s="209"/>
      <c r="I1132" s="209"/>
      <c r="J1132" s="209"/>
      <c r="K1132" s="209"/>
      <c r="L1132" s="209"/>
      <c r="M1132" s="207"/>
      <c r="N1132" s="209"/>
      <c r="O1132" s="209"/>
      <c r="P1132" s="209"/>
      <c r="Q1132" s="209"/>
      <c r="R1132" s="209"/>
      <c r="S1132" s="210"/>
    </row>
    <row r="1133" spans="1:19" s="14" customFormat="1" ht="57" x14ac:dyDescent="0.7">
      <c r="A1133" s="248"/>
      <c r="B1133" s="214"/>
      <c r="C1133" s="207"/>
      <c r="D1133" s="232"/>
      <c r="E1133" s="232"/>
      <c r="F1133" s="209"/>
      <c r="G1133" s="209"/>
      <c r="H1133" s="209"/>
      <c r="I1133" s="209"/>
      <c r="J1133" s="209"/>
      <c r="K1133" s="209"/>
      <c r="L1133" s="209"/>
      <c r="M1133" s="207"/>
      <c r="N1133" s="209"/>
      <c r="O1133" s="209"/>
      <c r="P1133" s="209"/>
      <c r="Q1133" s="209"/>
      <c r="R1133" s="209"/>
      <c r="S1133" s="210"/>
    </row>
    <row r="1134" spans="1:19" s="14" customFormat="1" ht="57" x14ac:dyDescent="0.7">
      <c r="A1134" s="248"/>
      <c r="B1134" s="214"/>
      <c r="C1134" s="207"/>
      <c r="D1134" s="232"/>
      <c r="E1134" s="232"/>
      <c r="F1134" s="209"/>
      <c r="G1134" s="209"/>
      <c r="H1134" s="209"/>
      <c r="I1134" s="209"/>
      <c r="J1134" s="209"/>
      <c r="K1134" s="209"/>
      <c r="L1134" s="209"/>
      <c r="M1134" s="207"/>
      <c r="N1134" s="209"/>
      <c r="O1134" s="209"/>
      <c r="P1134" s="209"/>
      <c r="Q1134" s="209"/>
      <c r="R1134" s="209"/>
      <c r="S1134" s="210"/>
    </row>
    <row r="1135" spans="1:19" s="14" customFormat="1" ht="57" x14ac:dyDescent="0.7">
      <c r="A1135" s="248"/>
      <c r="B1135" s="214"/>
      <c r="C1135" s="207"/>
      <c r="D1135" s="232"/>
      <c r="E1135" s="232"/>
      <c r="F1135" s="209"/>
      <c r="G1135" s="209"/>
      <c r="H1135" s="209"/>
      <c r="I1135" s="209"/>
      <c r="J1135" s="209"/>
      <c r="K1135" s="209"/>
      <c r="L1135" s="209"/>
      <c r="M1135" s="207"/>
      <c r="N1135" s="209"/>
      <c r="O1135" s="209"/>
      <c r="P1135" s="209"/>
      <c r="Q1135" s="209"/>
      <c r="R1135" s="209"/>
      <c r="S1135" s="210"/>
    </row>
    <row r="1136" spans="1:19" s="14" customFormat="1" ht="57" x14ac:dyDescent="0.7">
      <c r="A1136" s="248"/>
      <c r="B1136" s="214"/>
      <c r="C1136" s="207"/>
      <c r="D1136" s="232"/>
      <c r="E1136" s="232"/>
      <c r="F1136" s="209"/>
      <c r="G1136" s="209"/>
      <c r="H1136" s="209"/>
      <c r="I1136" s="209"/>
      <c r="J1136" s="209"/>
      <c r="K1136" s="209"/>
      <c r="L1136" s="209"/>
      <c r="M1136" s="207"/>
      <c r="N1136" s="209"/>
      <c r="O1136" s="209"/>
      <c r="P1136" s="209"/>
      <c r="Q1136" s="209"/>
      <c r="R1136" s="209"/>
      <c r="S1136" s="210"/>
    </row>
    <row r="1137" spans="1:19" s="14" customFormat="1" ht="57" x14ac:dyDescent="0.7">
      <c r="A1137" s="248"/>
      <c r="B1137" s="214"/>
      <c r="C1137" s="207"/>
      <c r="D1137" s="232"/>
      <c r="E1137" s="232"/>
      <c r="F1137" s="209"/>
      <c r="G1137" s="209"/>
      <c r="H1137" s="209"/>
      <c r="I1137" s="209"/>
      <c r="J1137" s="209"/>
      <c r="K1137" s="209"/>
      <c r="L1137" s="209"/>
      <c r="M1137" s="207"/>
      <c r="N1137" s="209"/>
      <c r="O1137" s="209"/>
      <c r="P1137" s="209"/>
      <c r="Q1137" s="209"/>
      <c r="R1137" s="209"/>
      <c r="S1137" s="210"/>
    </row>
    <row r="1138" spans="1:19" s="14" customFormat="1" ht="57" x14ac:dyDescent="0.7">
      <c r="A1138" s="248"/>
      <c r="B1138" s="214"/>
      <c r="C1138" s="207"/>
      <c r="D1138" s="232"/>
      <c r="E1138" s="232"/>
      <c r="F1138" s="209"/>
      <c r="G1138" s="209"/>
      <c r="H1138" s="209"/>
      <c r="I1138" s="209"/>
      <c r="J1138" s="209"/>
      <c r="K1138" s="209"/>
      <c r="L1138" s="209"/>
      <c r="M1138" s="207"/>
      <c r="N1138" s="209"/>
      <c r="O1138" s="209"/>
      <c r="P1138" s="209"/>
      <c r="Q1138" s="209"/>
      <c r="R1138" s="209"/>
      <c r="S1138" s="210"/>
    </row>
    <row r="1139" spans="1:19" s="14" customFormat="1" ht="57" x14ac:dyDescent="0.7">
      <c r="A1139" s="248"/>
      <c r="B1139" s="214"/>
      <c r="C1139" s="207"/>
      <c r="D1139" s="232"/>
      <c r="E1139" s="232"/>
      <c r="F1139" s="209"/>
      <c r="G1139" s="209"/>
      <c r="H1139" s="209"/>
      <c r="I1139" s="209"/>
      <c r="J1139" s="209"/>
      <c r="K1139" s="209"/>
      <c r="L1139" s="209"/>
      <c r="M1139" s="207"/>
      <c r="N1139" s="209"/>
      <c r="O1139" s="209"/>
      <c r="P1139" s="209"/>
      <c r="Q1139" s="209"/>
      <c r="R1139" s="209"/>
      <c r="S1139" s="210"/>
    </row>
    <row r="1140" spans="1:19" s="14" customFormat="1" ht="57" x14ac:dyDescent="0.7">
      <c r="A1140" s="248"/>
      <c r="B1140" s="214"/>
      <c r="C1140" s="207"/>
      <c r="D1140" s="232"/>
      <c r="E1140" s="232"/>
      <c r="F1140" s="209"/>
      <c r="G1140" s="209"/>
      <c r="H1140" s="209"/>
      <c r="I1140" s="209"/>
      <c r="J1140" s="209"/>
      <c r="K1140" s="209"/>
      <c r="L1140" s="209"/>
      <c r="M1140" s="207"/>
      <c r="N1140" s="209"/>
      <c r="O1140" s="209"/>
      <c r="P1140" s="209"/>
      <c r="Q1140" s="209"/>
      <c r="R1140" s="209"/>
      <c r="S1140" s="210"/>
    </row>
    <row r="1141" spans="1:19" s="14" customFormat="1" ht="57" x14ac:dyDescent="0.7">
      <c r="A1141" s="248"/>
      <c r="B1141" s="214"/>
      <c r="C1141" s="207"/>
      <c r="D1141" s="232"/>
      <c r="E1141" s="232"/>
      <c r="F1141" s="209"/>
      <c r="G1141" s="209"/>
      <c r="H1141" s="209"/>
      <c r="I1141" s="209"/>
      <c r="J1141" s="209"/>
      <c r="K1141" s="209"/>
      <c r="L1141" s="209"/>
      <c r="M1141" s="207"/>
      <c r="N1141" s="209"/>
      <c r="O1141" s="209"/>
      <c r="P1141" s="209"/>
      <c r="Q1141" s="209"/>
      <c r="R1141" s="209"/>
      <c r="S1141" s="210"/>
    </row>
    <row r="1142" spans="1:19" s="14" customFormat="1" ht="57" x14ac:dyDescent="0.7">
      <c r="A1142" s="248"/>
      <c r="B1142" s="214"/>
      <c r="C1142" s="207"/>
      <c r="D1142" s="232"/>
      <c r="E1142" s="232"/>
      <c r="F1142" s="209"/>
      <c r="G1142" s="209"/>
      <c r="H1142" s="209"/>
      <c r="I1142" s="209"/>
      <c r="J1142" s="209"/>
      <c r="K1142" s="209"/>
      <c r="L1142" s="209"/>
      <c r="M1142" s="207"/>
      <c r="N1142" s="209"/>
      <c r="O1142" s="209"/>
      <c r="P1142" s="209"/>
      <c r="Q1142" s="209"/>
      <c r="R1142" s="209"/>
      <c r="S1142" s="210"/>
    </row>
    <row r="1143" spans="1:19" s="14" customFormat="1" ht="57" x14ac:dyDescent="0.7">
      <c r="A1143" s="248"/>
      <c r="B1143" s="214"/>
      <c r="C1143" s="207"/>
      <c r="D1143" s="232"/>
      <c r="E1143" s="232"/>
      <c r="F1143" s="209"/>
      <c r="G1143" s="209"/>
      <c r="H1143" s="209"/>
      <c r="I1143" s="209"/>
      <c r="J1143" s="209"/>
      <c r="K1143" s="209"/>
      <c r="L1143" s="209"/>
      <c r="M1143" s="207"/>
      <c r="N1143" s="209"/>
      <c r="O1143" s="209"/>
      <c r="P1143" s="209"/>
      <c r="Q1143" s="209"/>
      <c r="R1143" s="209"/>
      <c r="S1143" s="210"/>
    </row>
    <row r="1144" spans="1:19" s="14" customFormat="1" ht="57" x14ac:dyDescent="0.7">
      <c r="A1144" s="248"/>
      <c r="B1144" s="214"/>
      <c r="C1144" s="207"/>
      <c r="D1144" s="232"/>
      <c r="E1144" s="232"/>
      <c r="F1144" s="209"/>
      <c r="G1144" s="209"/>
      <c r="H1144" s="209"/>
      <c r="I1144" s="209"/>
      <c r="J1144" s="209"/>
      <c r="K1144" s="209"/>
      <c r="L1144" s="209"/>
      <c r="M1144" s="207"/>
      <c r="N1144" s="209"/>
      <c r="O1144" s="209"/>
      <c r="P1144" s="209"/>
      <c r="Q1144" s="209"/>
      <c r="R1144" s="209"/>
      <c r="S1144" s="210"/>
    </row>
    <row r="1145" spans="1:19" s="14" customFormat="1" ht="57" x14ac:dyDescent="0.7">
      <c r="A1145" s="248"/>
      <c r="B1145" s="214"/>
      <c r="C1145" s="207"/>
      <c r="D1145" s="232"/>
      <c r="E1145" s="232"/>
      <c r="F1145" s="209"/>
      <c r="G1145" s="209"/>
      <c r="H1145" s="209"/>
      <c r="I1145" s="209"/>
      <c r="J1145" s="209"/>
      <c r="K1145" s="209"/>
      <c r="L1145" s="209"/>
      <c r="M1145" s="207"/>
      <c r="N1145" s="209"/>
      <c r="O1145" s="209"/>
      <c r="P1145" s="209"/>
      <c r="Q1145" s="209"/>
      <c r="R1145" s="209"/>
      <c r="S1145" s="210"/>
    </row>
    <row r="1146" spans="1:19" s="14" customFormat="1" ht="57" x14ac:dyDescent="0.7">
      <c r="A1146" s="248"/>
      <c r="B1146" s="214"/>
      <c r="C1146" s="207"/>
      <c r="D1146" s="232"/>
      <c r="E1146" s="232"/>
      <c r="F1146" s="209"/>
      <c r="G1146" s="209"/>
      <c r="H1146" s="209"/>
      <c r="I1146" s="209"/>
      <c r="J1146" s="209"/>
      <c r="K1146" s="209"/>
      <c r="L1146" s="209"/>
      <c r="M1146" s="207"/>
      <c r="N1146" s="209"/>
      <c r="O1146" s="209"/>
      <c r="P1146" s="209"/>
      <c r="Q1146" s="209"/>
      <c r="R1146" s="209"/>
      <c r="S1146" s="210"/>
    </row>
    <row r="1147" spans="1:19" s="14" customFormat="1" ht="57" x14ac:dyDescent="0.7">
      <c r="A1147" s="248"/>
      <c r="B1147" s="214"/>
      <c r="C1147" s="207"/>
      <c r="D1147" s="232"/>
      <c r="E1147" s="232"/>
      <c r="F1147" s="209"/>
      <c r="G1147" s="209"/>
      <c r="H1147" s="209"/>
      <c r="I1147" s="209"/>
      <c r="J1147" s="209"/>
      <c r="K1147" s="209"/>
      <c r="L1147" s="209"/>
      <c r="M1147" s="207"/>
      <c r="N1147" s="209"/>
      <c r="O1147" s="209"/>
      <c r="P1147" s="209"/>
      <c r="Q1147" s="209"/>
      <c r="R1147" s="209"/>
      <c r="S1147" s="210"/>
    </row>
    <row r="1148" spans="1:19" s="14" customFormat="1" ht="57" x14ac:dyDescent="0.7">
      <c r="A1148" s="248"/>
      <c r="B1148" s="214"/>
      <c r="C1148" s="207"/>
      <c r="D1148" s="232"/>
      <c r="E1148" s="232"/>
      <c r="F1148" s="209"/>
      <c r="G1148" s="209"/>
      <c r="H1148" s="209"/>
      <c r="I1148" s="209"/>
      <c r="J1148" s="209"/>
      <c r="K1148" s="209"/>
      <c r="L1148" s="209"/>
      <c r="M1148" s="207"/>
      <c r="N1148" s="209"/>
      <c r="O1148" s="209"/>
      <c r="P1148" s="209"/>
      <c r="Q1148" s="209"/>
      <c r="R1148" s="209"/>
      <c r="S1148" s="210"/>
    </row>
    <row r="1149" spans="1:19" s="14" customFormat="1" ht="57" x14ac:dyDescent="0.7">
      <c r="A1149" s="248"/>
      <c r="B1149" s="214"/>
      <c r="C1149" s="207"/>
      <c r="D1149" s="232"/>
      <c r="E1149" s="232"/>
      <c r="F1149" s="209"/>
      <c r="G1149" s="209"/>
      <c r="H1149" s="209"/>
      <c r="I1149" s="209"/>
      <c r="J1149" s="209"/>
      <c r="K1149" s="209"/>
      <c r="L1149" s="209"/>
      <c r="M1149" s="207"/>
      <c r="N1149" s="209"/>
      <c r="O1149" s="209"/>
      <c r="P1149" s="209"/>
      <c r="Q1149" s="209"/>
      <c r="R1149" s="209"/>
      <c r="S1149" s="210"/>
    </row>
    <row r="1150" spans="1:19" s="14" customFormat="1" ht="57" x14ac:dyDescent="0.7">
      <c r="A1150" s="248"/>
      <c r="B1150" s="214"/>
      <c r="C1150" s="207"/>
      <c r="D1150" s="232"/>
      <c r="E1150" s="232"/>
      <c r="F1150" s="209"/>
      <c r="G1150" s="209"/>
      <c r="H1150" s="209"/>
      <c r="I1150" s="209"/>
      <c r="J1150" s="209"/>
      <c r="K1150" s="209"/>
      <c r="L1150" s="209"/>
      <c r="M1150" s="207"/>
      <c r="N1150" s="209"/>
      <c r="O1150" s="209"/>
      <c r="P1150" s="209"/>
      <c r="Q1150" s="209"/>
      <c r="R1150" s="209"/>
      <c r="S1150" s="210"/>
    </row>
    <row r="1151" spans="1:19" s="14" customFormat="1" ht="57" x14ac:dyDescent="0.7">
      <c r="A1151" s="248"/>
      <c r="B1151" s="214"/>
      <c r="C1151" s="207"/>
      <c r="D1151" s="232"/>
      <c r="E1151" s="232"/>
      <c r="F1151" s="209"/>
      <c r="G1151" s="209"/>
      <c r="H1151" s="209"/>
      <c r="I1151" s="209"/>
      <c r="J1151" s="209"/>
      <c r="K1151" s="209"/>
      <c r="L1151" s="209"/>
      <c r="M1151" s="207"/>
      <c r="N1151" s="209"/>
      <c r="O1151" s="209"/>
      <c r="P1151" s="209"/>
      <c r="Q1151" s="209"/>
      <c r="R1151" s="209"/>
      <c r="S1151" s="210"/>
    </row>
    <row r="1152" spans="1:19" s="14" customFormat="1" ht="57" x14ac:dyDescent="0.7">
      <c r="A1152" s="248"/>
      <c r="B1152" s="214"/>
      <c r="C1152" s="207"/>
      <c r="D1152" s="232"/>
      <c r="E1152" s="232"/>
      <c r="F1152" s="209"/>
      <c r="G1152" s="209"/>
      <c r="H1152" s="209"/>
      <c r="I1152" s="209"/>
      <c r="J1152" s="209"/>
      <c r="K1152" s="209"/>
      <c r="L1152" s="209"/>
      <c r="M1152" s="207"/>
      <c r="N1152" s="209"/>
      <c r="O1152" s="209"/>
      <c r="P1152" s="209"/>
      <c r="Q1152" s="209"/>
      <c r="R1152" s="209"/>
      <c r="S1152" s="210"/>
    </row>
    <row r="1153" spans="1:19" s="14" customFormat="1" ht="57" x14ac:dyDescent="0.7">
      <c r="A1153" s="248"/>
      <c r="B1153" s="214"/>
      <c r="C1153" s="207"/>
      <c r="D1153" s="232"/>
      <c r="E1153" s="232"/>
      <c r="F1153" s="209"/>
      <c r="G1153" s="209"/>
      <c r="H1153" s="209"/>
      <c r="I1153" s="209"/>
      <c r="J1153" s="209"/>
      <c r="K1153" s="209"/>
      <c r="L1153" s="209"/>
      <c r="M1153" s="207"/>
      <c r="N1153" s="209"/>
      <c r="O1153" s="209"/>
      <c r="P1153" s="209"/>
      <c r="Q1153" s="209"/>
      <c r="R1153" s="209"/>
      <c r="S1153" s="210"/>
    </row>
    <row r="1154" spans="1:19" s="14" customFormat="1" ht="57" x14ac:dyDescent="0.7">
      <c r="A1154" s="248"/>
      <c r="B1154" s="214"/>
      <c r="C1154" s="207"/>
      <c r="D1154" s="232"/>
      <c r="E1154" s="232"/>
      <c r="F1154" s="209"/>
      <c r="G1154" s="209"/>
      <c r="H1154" s="209"/>
      <c r="I1154" s="209"/>
      <c r="J1154" s="209"/>
      <c r="K1154" s="209"/>
      <c r="L1154" s="209"/>
      <c r="M1154" s="207"/>
      <c r="N1154" s="209"/>
      <c r="O1154" s="209"/>
      <c r="P1154" s="209"/>
      <c r="Q1154" s="209"/>
      <c r="R1154" s="209"/>
      <c r="S1154" s="210"/>
    </row>
    <row r="1155" spans="1:19" s="14" customFormat="1" ht="57" x14ac:dyDescent="0.7">
      <c r="A1155" s="248"/>
      <c r="B1155" s="214"/>
      <c r="C1155" s="207"/>
      <c r="D1155" s="232"/>
      <c r="E1155" s="232"/>
      <c r="F1155" s="209"/>
      <c r="G1155" s="209"/>
      <c r="H1155" s="209"/>
      <c r="I1155" s="209"/>
      <c r="J1155" s="209"/>
      <c r="K1155" s="209"/>
      <c r="L1155" s="209"/>
      <c r="M1155" s="207"/>
      <c r="N1155" s="209"/>
      <c r="O1155" s="209"/>
      <c r="P1155" s="209"/>
      <c r="Q1155" s="209"/>
      <c r="R1155" s="209"/>
      <c r="S1155" s="210"/>
    </row>
    <row r="1156" spans="1:19" s="14" customFormat="1" ht="57" x14ac:dyDescent="0.7">
      <c r="A1156" s="248"/>
      <c r="B1156" s="214"/>
      <c r="C1156" s="207"/>
      <c r="D1156" s="232"/>
      <c r="E1156" s="232"/>
      <c r="F1156" s="209"/>
      <c r="G1156" s="209"/>
      <c r="H1156" s="209"/>
      <c r="I1156" s="209"/>
      <c r="J1156" s="209"/>
      <c r="K1156" s="209"/>
      <c r="L1156" s="209"/>
      <c r="M1156" s="207"/>
      <c r="N1156" s="209"/>
      <c r="O1156" s="209"/>
      <c r="P1156" s="209"/>
      <c r="Q1156" s="209"/>
      <c r="R1156" s="209"/>
      <c r="S1156" s="210"/>
    </row>
    <row r="1157" spans="1:19" s="14" customFormat="1" ht="57" x14ac:dyDescent="0.7">
      <c r="A1157" s="248"/>
      <c r="B1157" s="214"/>
      <c r="C1157" s="207"/>
      <c r="D1157" s="232"/>
      <c r="E1157" s="232"/>
      <c r="F1157" s="209"/>
      <c r="G1157" s="209"/>
      <c r="H1157" s="209"/>
      <c r="I1157" s="209"/>
      <c r="J1157" s="209"/>
      <c r="K1157" s="209"/>
      <c r="L1157" s="209"/>
      <c r="M1157" s="207"/>
      <c r="N1157" s="209"/>
      <c r="O1157" s="209"/>
      <c r="P1157" s="209"/>
      <c r="Q1157" s="209"/>
      <c r="R1157" s="209"/>
      <c r="S1157" s="210"/>
    </row>
    <row r="1158" spans="1:19" s="14" customFormat="1" ht="57" x14ac:dyDescent="0.7">
      <c r="A1158" s="248"/>
      <c r="B1158" s="214"/>
      <c r="C1158" s="207"/>
      <c r="D1158" s="232"/>
      <c r="E1158" s="232"/>
      <c r="F1158" s="209"/>
      <c r="G1158" s="209"/>
      <c r="H1158" s="209"/>
      <c r="I1158" s="209"/>
      <c r="J1158" s="209"/>
      <c r="K1158" s="209"/>
      <c r="L1158" s="209"/>
      <c r="M1158" s="207"/>
      <c r="N1158" s="209"/>
      <c r="O1158" s="209"/>
      <c r="P1158" s="209"/>
      <c r="Q1158" s="209"/>
      <c r="R1158" s="209"/>
      <c r="S1158" s="210"/>
    </row>
    <row r="1159" spans="1:19" s="14" customFormat="1" ht="57" x14ac:dyDescent="0.7">
      <c r="A1159" s="248"/>
      <c r="B1159" s="214"/>
      <c r="C1159" s="207"/>
      <c r="D1159" s="232"/>
      <c r="E1159" s="232"/>
      <c r="F1159" s="209"/>
      <c r="G1159" s="209"/>
      <c r="H1159" s="209"/>
      <c r="I1159" s="209"/>
      <c r="J1159" s="209"/>
      <c r="K1159" s="209"/>
      <c r="L1159" s="209"/>
      <c r="M1159" s="207"/>
      <c r="N1159" s="209"/>
      <c r="O1159" s="209"/>
      <c r="P1159" s="209"/>
      <c r="Q1159" s="209"/>
      <c r="R1159" s="209"/>
      <c r="S1159" s="210"/>
    </row>
    <row r="1160" spans="1:19" s="14" customFormat="1" ht="57" x14ac:dyDescent="0.7">
      <c r="A1160" s="248"/>
      <c r="B1160" s="214"/>
      <c r="C1160" s="207"/>
      <c r="D1160" s="232"/>
      <c r="E1160" s="232"/>
      <c r="F1160" s="209"/>
      <c r="G1160" s="209"/>
      <c r="H1160" s="209"/>
      <c r="I1160" s="209"/>
      <c r="J1160" s="209"/>
      <c r="K1160" s="209"/>
      <c r="L1160" s="209"/>
      <c r="M1160" s="207"/>
      <c r="N1160" s="209"/>
      <c r="O1160" s="209"/>
      <c r="P1160" s="209"/>
      <c r="Q1160" s="209"/>
      <c r="R1160" s="209"/>
      <c r="S1160" s="210"/>
    </row>
    <row r="1161" spans="1:19" s="14" customFormat="1" ht="57" x14ac:dyDescent="0.7">
      <c r="A1161" s="248"/>
      <c r="B1161" s="214"/>
      <c r="C1161" s="207"/>
      <c r="D1161" s="232"/>
      <c r="E1161" s="232"/>
      <c r="F1161" s="209"/>
      <c r="G1161" s="209"/>
      <c r="H1161" s="209"/>
      <c r="I1161" s="209"/>
      <c r="J1161" s="209"/>
      <c r="K1161" s="209"/>
      <c r="L1161" s="209"/>
      <c r="M1161" s="207"/>
      <c r="N1161" s="209"/>
      <c r="O1161" s="209"/>
      <c r="P1161" s="209"/>
      <c r="Q1161" s="209"/>
      <c r="R1161" s="209"/>
      <c r="S1161" s="210"/>
    </row>
    <row r="1162" spans="1:19" s="14" customFormat="1" ht="57" x14ac:dyDescent="0.7">
      <c r="A1162" s="248"/>
      <c r="B1162" s="214"/>
      <c r="C1162" s="207"/>
      <c r="D1162" s="232"/>
      <c r="E1162" s="232"/>
      <c r="F1162" s="209"/>
      <c r="G1162" s="209"/>
      <c r="H1162" s="209"/>
      <c r="I1162" s="209"/>
      <c r="J1162" s="209"/>
      <c r="K1162" s="209"/>
      <c r="L1162" s="209"/>
      <c r="M1162" s="207"/>
      <c r="N1162" s="209"/>
      <c r="O1162" s="209"/>
      <c r="P1162" s="209"/>
      <c r="Q1162" s="209"/>
      <c r="R1162" s="209"/>
      <c r="S1162" s="210"/>
    </row>
    <row r="1163" spans="1:19" s="14" customFormat="1" ht="57" x14ac:dyDescent="0.7">
      <c r="A1163" s="248"/>
      <c r="B1163" s="214"/>
      <c r="C1163" s="207"/>
      <c r="D1163" s="232"/>
      <c r="E1163" s="232"/>
      <c r="F1163" s="209"/>
      <c r="G1163" s="209"/>
      <c r="H1163" s="209"/>
      <c r="I1163" s="209"/>
      <c r="J1163" s="209"/>
      <c r="K1163" s="209"/>
      <c r="L1163" s="209"/>
      <c r="M1163" s="207"/>
      <c r="N1163" s="209"/>
      <c r="O1163" s="209"/>
      <c r="P1163" s="209"/>
      <c r="Q1163" s="209"/>
      <c r="R1163" s="209"/>
      <c r="S1163" s="210"/>
    </row>
    <row r="1164" spans="1:19" s="14" customFormat="1" ht="57" x14ac:dyDescent="0.7">
      <c r="A1164" s="248"/>
      <c r="B1164" s="214"/>
      <c r="C1164" s="207"/>
      <c r="D1164" s="232"/>
      <c r="E1164" s="232"/>
      <c r="F1164" s="209"/>
      <c r="G1164" s="209"/>
      <c r="H1164" s="209"/>
      <c r="I1164" s="209"/>
      <c r="J1164" s="209"/>
      <c r="K1164" s="209"/>
      <c r="L1164" s="209"/>
      <c r="M1164" s="207"/>
      <c r="N1164" s="209"/>
      <c r="O1164" s="209"/>
      <c r="P1164" s="209"/>
      <c r="Q1164" s="209"/>
      <c r="R1164" s="209"/>
      <c r="S1164" s="210"/>
    </row>
    <row r="1165" spans="1:19" s="14" customFormat="1" ht="57" x14ac:dyDescent="0.7">
      <c r="A1165" s="248"/>
      <c r="B1165" s="214"/>
      <c r="C1165" s="207"/>
      <c r="D1165" s="232"/>
      <c r="E1165" s="232"/>
      <c r="F1165" s="209"/>
      <c r="G1165" s="209"/>
      <c r="H1165" s="209"/>
      <c r="I1165" s="209"/>
      <c r="J1165" s="209"/>
      <c r="K1165" s="209"/>
      <c r="L1165" s="209"/>
      <c r="M1165" s="207"/>
      <c r="N1165" s="209"/>
      <c r="O1165" s="209"/>
      <c r="P1165" s="209"/>
      <c r="Q1165" s="209"/>
      <c r="R1165" s="209"/>
      <c r="S1165" s="210"/>
    </row>
    <row r="1166" spans="1:19" s="14" customFormat="1" ht="57" x14ac:dyDescent="0.7">
      <c r="A1166" s="248"/>
      <c r="B1166" s="214"/>
      <c r="C1166" s="207"/>
      <c r="D1166" s="232"/>
      <c r="E1166" s="232"/>
      <c r="F1166" s="209"/>
      <c r="G1166" s="209"/>
      <c r="H1166" s="209"/>
      <c r="I1166" s="209"/>
      <c r="J1166" s="209"/>
      <c r="K1166" s="209"/>
      <c r="L1166" s="209"/>
      <c r="M1166" s="207"/>
      <c r="N1166" s="209"/>
      <c r="O1166" s="209"/>
      <c r="P1166" s="209"/>
      <c r="Q1166" s="209"/>
      <c r="R1166" s="209"/>
      <c r="S1166" s="210"/>
    </row>
    <row r="1167" spans="1:19" s="14" customFormat="1" ht="57" x14ac:dyDescent="0.7">
      <c r="A1167" s="248"/>
      <c r="B1167" s="214"/>
      <c r="C1167" s="207"/>
      <c r="D1167" s="232"/>
      <c r="E1167" s="232"/>
      <c r="F1167" s="209"/>
      <c r="G1167" s="209"/>
      <c r="H1167" s="209"/>
      <c r="I1167" s="209"/>
      <c r="J1167" s="209"/>
      <c r="K1167" s="209"/>
      <c r="L1167" s="209"/>
      <c r="M1167" s="207"/>
      <c r="N1167" s="209"/>
      <c r="O1167" s="209"/>
      <c r="P1167" s="209"/>
      <c r="Q1167" s="209"/>
      <c r="R1167" s="209"/>
      <c r="S1167" s="210"/>
    </row>
    <row r="1168" spans="1:19" s="14" customFormat="1" ht="57" x14ac:dyDescent="0.7">
      <c r="A1168" s="248"/>
      <c r="B1168" s="214"/>
      <c r="C1168" s="207"/>
      <c r="D1168" s="232"/>
      <c r="E1168" s="232"/>
      <c r="F1168" s="209"/>
      <c r="G1168" s="209"/>
      <c r="H1168" s="209"/>
      <c r="I1168" s="209"/>
      <c r="J1168" s="209"/>
      <c r="K1168" s="209"/>
      <c r="L1168" s="209"/>
      <c r="M1168" s="207"/>
      <c r="N1168" s="209"/>
      <c r="O1168" s="209"/>
      <c r="P1168" s="209"/>
      <c r="Q1168" s="209"/>
      <c r="R1168" s="209"/>
      <c r="S1168" s="210"/>
    </row>
    <row r="1169" spans="1:19" s="14" customFormat="1" ht="57" x14ac:dyDescent="0.7">
      <c r="A1169" s="248"/>
      <c r="B1169" s="214"/>
      <c r="C1169" s="207"/>
      <c r="D1169" s="232"/>
      <c r="E1169" s="232"/>
      <c r="F1169" s="209"/>
      <c r="G1169" s="209"/>
      <c r="H1169" s="209"/>
      <c r="I1169" s="209"/>
      <c r="J1169" s="209"/>
      <c r="K1169" s="209"/>
      <c r="L1169" s="209"/>
      <c r="M1169" s="207"/>
      <c r="N1169" s="209"/>
      <c r="O1169" s="209"/>
      <c r="P1169" s="209"/>
      <c r="Q1169" s="209"/>
      <c r="R1169" s="209"/>
      <c r="S1169" s="210"/>
    </row>
    <row r="1170" spans="1:19" s="14" customFormat="1" ht="57" x14ac:dyDescent="0.7">
      <c r="A1170" s="248"/>
      <c r="B1170" s="214"/>
      <c r="C1170" s="207"/>
      <c r="D1170" s="232"/>
      <c r="E1170" s="232"/>
      <c r="F1170" s="209"/>
      <c r="G1170" s="209"/>
      <c r="H1170" s="209"/>
      <c r="I1170" s="209"/>
      <c r="J1170" s="209"/>
      <c r="K1170" s="209"/>
      <c r="L1170" s="209"/>
      <c r="M1170" s="207"/>
      <c r="N1170" s="209"/>
      <c r="O1170" s="209"/>
      <c r="P1170" s="209"/>
      <c r="Q1170" s="209"/>
      <c r="R1170" s="209"/>
      <c r="S1170" s="210"/>
    </row>
    <row r="1171" spans="1:19" s="14" customFormat="1" ht="57" x14ac:dyDescent="0.7">
      <c r="A1171" s="248"/>
      <c r="B1171" s="214"/>
      <c r="C1171" s="207"/>
      <c r="D1171" s="232"/>
      <c r="E1171" s="232"/>
      <c r="F1171" s="209"/>
      <c r="G1171" s="209"/>
      <c r="H1171" s="209"/>
      <c r="I1171" s="209"/>
      <c r="J1171" s="209"/>
      <c r="K1171" s="209"/>
      <c r="L1171" s="209"/>
      <c r="M1171" s="207"/>
      <c r="N1171" s="209"/>
      <c r="O1171" s="209"/>
      <c r="P1171" s="209"/>
      <c r="Q1171" s="209"/>
      <c r="R1171" s="209"/>
      <c r="S1171" s="210"/>
    </row>
    <row r="1172" spans="1:19" s="14" customFormat="1" ht="57" x14ac:dyDescent="0.7">
      <c r="A1172" s="248"/>
      <c r="B1172" s="214"/>
      <c r="C1172" s="207"/>
      <c r="D1172" s="232"/>
      <c r="E1172" s="232"/>
      <c r="F1172" s="209"/>
      <c r="G1172" s="209"/>
      <c r="H1172" s="209"/>
      <c r="I1172" s="209"/>
      <c r="J1172" s="209"/>
      <c r="K1172" s="209"/>
      <c r="L1172" s="209"/>
      <c r="M1172" s="207"/>
      <c r="N1172" s="209"/>
      <c r="O1172" s="209"/>
      <c r="P1172" s="209"/>
      <c r="Q1172" s="209"/>
      <c r="R1172" s="209"/>
      <c r="S1172" s="210"/>
    </row>
    <row r="1173" spans="1:19" s="14" customFormat="1" ht="57" x14ac:dyDescent="0.7">
      <c r="A1173" s="248"/>
      <c r="B1173" s="214"/>
      <c r="C1173" s="207"/>
      <c r="D1173" s="232"/>
      <c r="E1173" s="232"/>
      <c r="F1173" s="209"/>
      <c r="G1173" s="209"/>
      <c r="H1173" s="209"/>
      <c r="I1173" s="209"/>
      <c r="J1173" s="209"/>
      <c r="K1173" s="209"/>
      <c r="L1173" s="209"/>
      <c r="M1173" s="207"/>
      <c r="N1173" s="209"/>
      <c r="O1173" s="209"/>
      <c r="P1173" s="209"/>
      <c r="Q1173" s="209"/>
      <c r="R1173" s="209"/>
      <c r="S1173" s="210"/>
    </row>
    <row r="1174" spans="1:19" s="14" customFormat="1" ht="57" x14ac:dyDescent="0.7">
      <c r="A1174" s="248"/>
      <c r="B1174" s="214"/>
      <c r="C1174" s="207"/>
      <c r="D1174" s="232"/>
      <c r="E1174" s="232"/>
      <c r="F1174" s="209"/>
      <c r="G1174" s="209"/>
      <c r="H1174" s="209"/>
      <c r="I1174" s="209"/>
      <c r="J1174" s="209"/>
      <c r="K1174" s="209"/>
      <c r="L1174" s="209"/>
      <c r="M1174" s="207"/>
      <c r="N1174" s="209"/>
      <c r="O1174" s="209"/>
      <c r="P1174" s="209"/>
      <c r="Q1174" s="209"/>
      <c r="R1174" s="209"/>
      <c r="S1174" s="210"/>
    </row>
    <row r="1175" spans="1:19" s="14" customFormat="1" ht="57" x14ac:dyDescent="0.7">
      <c r="A1175" s="248"/>
      <c r="B1175" s="214"/>
      <c r="C1175" s="207"/>
      <c r="D1175" s="232"/>
      <c r="E1175" s="232"/>
      <c r="F1175" s="209"/>
      <c r="G1175" s="209"/>
      <c r="H1175" s="209"/>
      <c r="I1175" s="209"/>
      <c r="J1175" s="209"/>
      <c r="K1175" s="209"/>
      <c r="L1175" s="209"/>
      <c r="M1175" s="207"/>
      <c r="N1175" s="209"/>
      <c r="O1175" s="209"/>
      <c r="P1175" s="209"/>
      <c r="Q1175" s="209"/>
      <c r="R1175" s="209"/>
      <c r="S1175" s="210"/>
    </row>
    <row r="1176" spans="1:19" s="14" customFormat="1" ht="57" x14ac:dyDescent="0.7">
      <c r="A1176" s="248"/>
      <c r="B1176" s="214"/>
      <c r="C1176" s="207"/>
      <c r="D1176" s="232"/>
      <c r="E1176" s="232"/>
      <c r="F1176" s="209"/>
      <c r="G1176" s="209"/>
      <c r="H1176" s="209"/>
      <c r="I1176" s="209"/>
      <c r="J1176" s="209"/>
      <c r="K1176" s="209"/>
      <c r="L1176" s="209"/>
      <c r="M1176" s="207"/>
      <c r="N1176" s="209"/>
      <c r="O1176" s="209"/>
      <c r="P1176" s="209"/>
      <c r="Q1176" s="209"/>
      <c r="R1176" s="209"/>
      <c r="S1176" s="210"/>
    </row>
    <row r="1177" spans="1:19" s="14" customFormat="1" ht="57" x14ac:dyDescent="0.7">
      <c r="A1177" s="248"/>
      <c r="B1177" s="214"/>
      <c r="C1177" s="207"/>
      <c r="D1177" s="232"/>
      <c r="E1177" s="232"/>
      <c r="F1177" s="209"/>
      <c r="G1177" s="209"/>
      <c r="H1177" s="209"/>
      <c r="I1177" s="209"/>
      <c r="J1177" s="209"/>
      <c r="K1177" s="209"/>
      <c r="L1177" s="209"/>
      <c r="M1177" s="207"/>
      <c r="N1177" s="209"/>
      <c r="O1177" s="209"/>
      <c r="P1177" s="209"/>
      <c r="Q1177" s="209"/>
      <c r="R1177" s="209"/>
      <c r="S1177" s="210"/>
    </row>
    <row r="1178" spans="1:19" s="14" customFormat="1" ht="57" x14ac:dyDescent="0.7">
      <c r="A1178" s="248"/>
      <c r="B1178" s="214"/>
      <c r="C1178" s="207"/>
      <c r="D1178" s="232"/>
      <c r="E1178" s="232"/>
      <c r="F1178" s="209"/>
      <c r="G1178" s="209"/>
      <c r="H1178" s="209"/>
      <c r="I1178" s="209"/>
      <c r="J1178" s="209"/>
      <c r="K1178" s="209"/>
      <c r="L1178" s="209"/>
      <c r="M1178" s="207"/>
      <c r="N1178" s="209"/>
      <c r="O1178" s="209"/>
      <c r="P1178" s="209"/>
      <c r="Q1178" s="209"/>
      <c r="R1178" s="209"/>
      <c r="S1178" s="210"/>
    </row>
    <row r="1179" spans="1:19" s="14" customFormat="1" ht="57" x14ac:dyDescent="0.7">
      <c r="A1179" s="248"/>
      <c r="B1179" s="214"/>
      <c r="C1179" s="207"/>
      <c r="D1179" s="232"/>
      <c r="E1179" s="232"/>
      <c r="F1179" s="209"/>
      <c r="G1179" s="209"/>
      <c r="H1179" s="209"/>
      <c r="I1179" s="209"/>
      <c r="J1179" s="209"/>
      <c r="K1179" s="209"/>
      <c r="L1179" s="209"/>
      <c r="M1179" s="207"/>
      <c r="N1179" s="209"/>
      <c r="O1179" s="209"/>
      <c r="P1179" s="209"/>
      <c r="Q1179" s="209"/>
      <c r="R1179" s="209"/>
      <c r="S1179" s="210"/>
    </row>
    <row r="1180" spans="1:19" s="14" customFormat="1" ht="57" x14ac:dyDescent="0.7">
      <c r="A1180" s="248"/>
      <c r="B1180" s="214"/>
      <c r="C1180" s="207"/>
      <c r="D1180" s="232"/>
      <c r="E1180" s="232"/>
      <c r="F1180" s="209"/>
      <c r="G1180" s="209"/>
      <c r="H1180" s="209"/>
      <c r="I1180" s="209"/>
      <c r="J1180" s="209"/>
      <c r="K1180" s="209"/>
      <c r="L1180" s="209"/>
      <c r="M1180" s="207"/>
      <c r="N1180" s="209"/>
      <c r="O1180" s="209"/>
      <c r="P1180" s="209"/>
      <c r="Q1180" s="209"/>
      <c r="R1180" s="209"/>
      <c r="S1180" s="210"/>
    </row>
    <row r="1181" spans="1:19" s="14" customFormat="1" ht="57" x14ac:dyDescent="0.7">
      <c r="A1181" s="248"/>
      <c r="B1181" s="214"/>
      <c r="C1181" s="207"/>
      <c r="D1181" s="232"/>
      <c r="E1181" s="232"/>
      <c r="F1181" s="209"/>
      <c r="G1181" s="209"/>
      <c r="H1181" s="209"/>
      <c r="I1181" s="209"/>
      <c r="J1181" s="209"/>
      <c r="K1181" s="209"/>
      <c r="L1181" s="209"/>
      <c r="M1181" s="207"/>
      <c r="N1181" s="209"/>
      <c r="O1181" s="209"/>
      <c r="P1181" s="209"/>
      <c r="Q1181" s="209"/>
      <c r="R1181" s="209"/>
      <c r="S1181" s="210"/>
    </row>
    <row r="1182" spans="1:19" s="14" customFormat="1" ht="57" x14ac:dyDescent="0.7">
      <c r="A1182" s="248"/>
      <c r="B1182" s="214"/>
      <c r="C1182" s="207"/>
      <c r="D1182" s="232"/>
      <c r="E1182" s="232"/>
      <c r="F1182" s="209"/>
      <c r="G1182" s="209"/>
      <c r="H1182" s="209"/>
      <c r="I1182" s="209"/>
      <c r="J1182" s="209"/>
      <c r="K1182" s="209"/>
      <c r="L1182" s="209"/>
      <c r="M1182" s="207"/>
      <c r="N1182" s="209"/>
      <c r="O1182" s="209"/>
      <c r="P1182" s="209"/>
      <c r="Q1182" s="209"/>
      <c r="R1182" s="209"/>
      <c r="S1182" s="210"/>
    </row>
    <row r="1183" spans="1:19" s="14" customFormat="1" ht="57" x14ac:dyDescent="0.7">
      <c r="A1183" s="248"/>
      <c r="B1183" s="214"/>
      <c r="C1183" s="207"/>
      <c r="D1183" s="232"/>
      <c r="E1183" s="232"/>
      <c r="F1183" s="209"/>
      <c r="G1183" s="209"/>
      <c r="H1183" s="209"/>
      <c r="I1183" s="209"/>
      <c r="J1183" s="209"/>
      <c r="K1183" s="209"/>
      <c r="L1183" s="209"/>
      <c r="M1183" s="207"/>
      <c r="N1183" s="209"/>
      <c r="O1183" s="209"/>
      <c r="P1183" s="209"/>
      <c r="Q1183" s="209"/>
      <c r="R1183" s="209"/>
      <c r="S1183" s="210"/>
    </row>
    <row r="1184" spans="1:19" s="14" customFormat="1" ht="57" x14ac:dyDescent="0.7">
      <c r="A1184" s="248"/>
      <c r="B1184" s="214"/>
      <c r="C1184" s="207"/>
      <c r="D1184" s="232"/>
      <c r="E1184" s="232"/>
      <c r="F1184" s="209"/>
      <c r="G1184" s="209"/>
      <c r="H1184" s="209"/>
      <c r="I1184" s="209"/>
      <c r="J1184" s="209"/>
      <c r="K1184" s="209"/>
      <c r="L1184" s="209"/>
      <c r="M1184" s="207"/>
      <c r="N1184" s="209"/>
      <c r="O1184" s="209"/>
      <c r="P1184" s="209"/>
      <c r="Q1184" s="209"/>
      <c r="R1184" s="209"/>
      <c r="S1184" s="210"/>
    </row>
    <row r="1185" spans="1:19" s="14" customFormat="1" ht="57" x14ac:dyDescent="0.7">
      <c r="A1185" s="248"/>
      <c r="B1185" s="214"/>
      <c r="C1185" s="207"/>
      <c r="D1185" s="232"/>
      <c r="E1185" s="232"/>
      <c r="F1185" s="209"/>
      <c r="G1185" s="209"/>
      <c r="H1185" s="209"/>
      <c r="I1185" s="209"/>
      <c r="J1185" s="209"/>
      <c r="K1185" s="209"/>
      <c r="L1185" s="209"/>
      <c r="M1185" s="207"/>
      <c r="N1185" s="209"/>
      <c r="O1185" s="209"/>
      <c r="P1185" s="209"/>
      <c r="Q1185" s="209"/>
      <c r="R1185" s="209"/>
      <c r="S1185" s="210"/>
    </row>
    <row r="1186" spans="1:19" s="14" customFormat="1" ht="57" x14ac:dyDescent="0.7">
      <c r="A1186" s="248"/>
      <c r="B1186" s="214"/>
      <c r="C1186" s="207"/>
      <c r="D1186" s="232"/>
      <c r="E1186" s="232"/>
      <c r="F1186" s="209"/>
      <c r="G1186" s="209"/>
      <c r="H1186" s="209"/>
      <c r="I1186" s="209"/>
      <c r="J1186" s="209"/>
      <c r="K1186" s="209"/>
      <c r="L1186" s="209"/>
      <c r="M1186" s="207"/>
      <c r="N1186" s="209"/>
      <c r="O1186" s="209"/>
      <c r="P1186" s="209"/>
      <c r="Q1186" s="209"/>
      <c r="R1186" s="209"/>
      <c r="S1186" s="210"/>
    </row>
    <row r="1187" spans="1:19" s="14" customFormat="1" ht="57" x14ac:dyDescent="0.7">
      <c r="A1187" s="248"/>
      <c r="B1187" s="214"/>
      <c r="C1187" s="207"/>
      <c r="D1187" s="232"/>
      <c r="E1187" s="232"/>
      <c r="F1187" s="209"/>
      <c r="G1187" s="209"/>
      <c r="H1187" s="209"/>
      <c r="I1187" s="209"/>
      <c r="J1187" s="209"/>
      <c r="K1187" s="209"/>
      <c r="L1187" s="209"/>
      <c r="M1187" s="207"/>
      <c r="N1187" s="209"/>
      <c r="O1187" s="209"/>
      <c r="P1187" s="209"/>
      <c r="Q1187" s="209"/>
      <c r="R1187" s="209"/>
      <c r="S1187" s="210"/>
    </row>
    <row r="1188" spans="1:19" s="14" customFormat="1" ht="57" x14ac:dyDescent="0.7">
      <c r="A1188" s="248"/>
      <c r="B1188" s="214"/>
      <c r="C1188" s="207"/>
      <c r="D1188" s="232"/>
      <c r="E1188" s="232"/>
      <c r="F1188" s="209"/>
      <c r="G1188" s="209"/>
      <c r="H1188" s="209"/>
      <c r="I1188" s="209"/>
      <c r="J1188" s="209"/>
      <c r="K1188" s="209"/>
      <c r="L1188" s="209"/>
      <c r="M1188" s="207"/>
      <c r="N1188" s="209"/>
      <c r="O1188" s="209"/>
      <c r="P1188" s="209"/>
      <c r="Q1188" s="209"/>
      <c r="R1188" s="209"/>
      <c r="S1188" s="210"/>
    </row>
    <row r="1189" spans="1:19" s="14" customFormat="1" ht="57" x14ac:dyDescent="0.7">
      <c r="A1189" s="248"/>
      <c r="B1189" s="214"/>
      <c r="C1189" s="207"/>
      <c r="D1189" s="232"/>
      <c r="E1189" s="232"/>
      <c r="F1189" s="209"/>
      <c r="G1189" s="209"/>
      <c r="H1189" s="209"/>
      <c r="I1189" s="209"/>
      <c r="J1189" s="209"/>
      <c r="K1189" s="209"/>
      <c r="L1189" s="209"/>
      <c r="M1189" s="207"/>
      <c r="N1189" s="209"/>
      <c r="O1189" s="209"/>
      <c r="P1189" s="209"/>
      <c r="Q1189" s="209"/>
      <c r="R1189" s="209"/>
      <c r="S1189" s="210"/>
    </row>
    <row r="1190" spans="1:19" s="14" customFormat="1" ht="57" x14ac:dyDescent="0.7">
      <c r="A1190" s="248"/>
      <c r="B1190" s="214"/>
      <c r="C1190" s="207"/>
      <c r="D1190" s="232"/>
      <c r="E1190" s="232"/>
      <c r="F1190" s="209"/>
      <c r="G1190" s="209"/>
      <c r="H1190" s="209"/>
      <c r="I1190" s="209"/>
      <c r="J1190" s="209"/>
      <c r="K1190" s="209"/>
      <c r="L1190" s="209"/>
      <c r="M1190" s="207"/>
      <c r="N1190" s="209"/>
      <c r="O1190" s="209"/>
      <c r="P1190" s="209"/>
      <c r="Q1190" s="209"/>
      <c r="R1190" s="209"/>
      <c r="S1190" s="210"/>
    </row>
    <row r="1191" spans="1:19" s="14" customFormat="1" ht="57" x14ac:dyDescent="0.7">
      <c r="A1191" s="248"/>
      <c r="B1191" s="214"/>
      <c r="C1191" s="207"/>
      <c r="D1191" s="232"/>
      <c r="E1191" s="232"/>
      <c r="F1191" s="209"/>
      <c r="G1191" s="209"/>
      <c r="H1191" s="209"/>
      <c r="I1191" s="209"/>
      <c r="J1191" s="209"/>
      <c r="K1191" s="209"/>
      <c r="L1191" s="209"/>
      <c r="M1191" s="207"/>
      <c r="N1191" s="209"/>
      <c r="O1191" s="209"/>
      <c r="P1191" s="209"/>
      <c r="Q1191" s="209"/>
      <c r="R1191" s="209"/>
      <c r="S1191" s="210"/>
    </row>
    <row r="1192" spans="1:19" s="14" customFormat="1" ht="57" x14ac:dyDescent="0.7">
      <c r="A1192" s="248"/>
      <c r="B1192" s="214"/>
      <c r="C1192" s="207"/>
      <c r="D1192" s="232"/>
      <c r="E1192" s="232"/>
      <c r="F1192" s="209"/>
      <c r="G1192" s="209"/>
      <c r="H1192" s="209"/>
      <c r="I1192" s="209"/>
      <c r="J1192" s="209"/>
      <c r="K1192" s="209"/>
      <c r="L1192" s="209"/>
      <c r="M1192" s="207"/>
      <c r="N1192" s="209"/>
      <c r="O1192" s="209"/>
      <c r="P1192" s="209"/>
      <c r="Q1192" s="209"/>
      <c r="R1192" s="209"/>
      <c r="S1192" s="210"/>
    </row>
    <row r="1193" spans="1:19" s="14" customFormat="1" ht="57" x14ac:dyDescent="0.7">
      <c r="A1193" s="248"/>
      <c r="B1193" s="214"/>
      <c r="C1193" s="207"/>
      <c r="D1193" s="232"/>
      <c r="E1193" s="232"/>
      <c r="F1193" s="209"/>
      <c r="G1193" s="209"/>
      <c r="H1193" s="209"/>
      <c r="I1193" s="209"/>
      <c r="J1193" s="209"/>
      <c r="K1193" s="209"/>
      <c r="L1193" s="209"/>
      <c r="M1193" s="207"/>
      <c r="N1193" s="209"/>
      <c r="O1193" s="209"/>
      <c r="P1193" s="209"/>
      <c r="Q1193" s="209"/>
      <c r="R1193" s="209"/>
      <c r="S1193" s="210"/>
    </row>
    <row r="1194" spans="1:19" s="14" customFormat="1" ht="57" x14ac:dyDescent="0.7">
      <c r="A1194" s="248"/>
      <c r="B1194" s="214"/>
      <c r="C1194" s="207"/>
      <c r="D1194" s="232"/>
      <c r="E1194" s="232"/>
      <c r="F1194" s="209"/>
      <c r="G1194" s="209"/>
      <c r="H1194" s="209"/>
      <c r="I1194" s="209"/>
      <c r="J1194" s="209"/>
      <c r="K1194" s="209"/>
      <c r="L1194" s="209"/>
      <c r="M1194" s="207"/>
      <c r="N1194" s="209"/>
      <c r="O1194" s="209"/>
      <c r="P1194" s="209"/>
      <c r="Q1194" s="209"/>
      <c r="R1194" s="209"/>
      <c r="S1194" s="210"/>
    </row>
    <row r="1195" spans="1:19" s="14" customFormat="1" ht="57" x14ac:dyDescent="0.7">
      <c r="A1195" s="248"/>
      <c r="B1195" s="214"/>
      <c r="C1195" s="207"/>
      <c r="D1195" s="232"/>
      <c r="E1195" s="232"/>
      <c r="F1195" s="209"/>
      <c r="G1195" s="209"/>
      <c r="H1195" s="209"/>
      <c r="I1195" s="209"/>
      <c r="J1195" s="209"/>
      <c r="K1195" s="209"/>
      <c r="L1195" s="209"/>
      <c r="M1195" s="207"/>
      <c r="N1195" s="209"/>
      <c r="O1195" s="209"/>
      <c r="P1195" s="209"/>
      <c r="Q1195" s="209"/>
      <c r="R1195" s="209"/>
      <c r="S1195" s="210"/>
    </row>
    <row r="1196" spans="1:19" s="14" customFormat="1" ht="57" x14ac:dyDescent="0.7">
      <c r="A1196" s="248"/>
      <c r="B1196" s="214"/>
      <c r="C1196" s="207"/>
      <c r="D1196" s="232"/>
      <c r="E1196" s="232"/>
      <c r="F1196" s="209"/>
      <c r="G1196" s="209"/>
      <c r="H1196" s="209"/>
      <c r="I1196" s="209"/>
      <c r="J1196" s="209"/>
      <c r="K1196" s="209"/>
      <c r="L1196" s="209"/>
      <c r="M1196" s="207"/>
      <c r="N1196" s="209"/>
      <c r="O1196" s="209"/>
      <c r="P1196" s="209"/>
      <c r="Q1196" s="209"/>
      <c r="R1196" s="209"/>
      <c r="S1196" s="210"/>
    </row>
    <row r="1197" spans="1:19" s="14" customFormat="1" ht="57" x14ac:dyDescent="0.7">
      <c r="A1197" s="248"/>
      <c r="B1197" s="214"/>
      <c r="C1197" s="207"/>
      <c r="D1197" s="232"/>
      <c r="E1197" s="232"/>
      <c r="F1197" s="209"/>
      <c r="G1197" s="209"/>
      <c r="H1197" s="209"/>
      <c r="I1197" s="209"/>
      <c r="J1197" s="209"/>
      <c r="K1197" s="209"/>
      <c r="L1197" s="209"/>
      <c r="M1197" s="207"/>
      <c r="N1197" s="209"/>
      <c r="O1197" s="209"/>
      <c r="P1197" s="209"/>
      <c r="Q1197" s="209"/>
      <c r="R1197" s="209"/>
      <c r="S1197" s="210"/>
    </row>
    <row r="1198" spans="1:19" s="14" customFormat="1" ht="57" x14ac:dyDescent="0.7">
      <c r="A1198" s="248"/>
      <c r="B1198" s="214"/>
      <c r="C1198" s="207"/>
      <c r="D1198" s="232"/>
      <c r="E1198" s="232"/>
      <c r="F1198" s="209"/>
      <c r="G1198" s="209"/>
      <c r="H1198" s="209"/>
      <c r="I1198" s="209"/>
      <c r="J1198" s="209"/>
      <c r="K1198" s="209"/>
      <c r="L1198" s="209"/>
      <c r="M1198" s="207"/>
      <c r="N1198" s="209"/>
      <c r="O1198" s="209"/>
      <c r="P1198" s="209"/>
      <c r="Q1198" s="209"/>
      <c r="R1198" s="209"/>
      <c r="S1198" s="210"/>
    </row>
    <row r="1199" spans="1:19" s="14" customFormat="1" ht="57" x14ac:dyDescent="0.7">
      <c r="A1199" s="248"/>
      <c r="B1199" s="214"/>
      <c r="C1199" s="207"/>
      <c r="D1199" s="232"/>
      <c r="E1199" s="232"/>
      <c r="F1199" s="209"/>
      <c r="G1199" s="209"/>
      <c r="H1199" s="209"/>
      <c r="I1199" s="209"/>
      <c r="J1199" s="209"/>
      <c r="K1199" s="209"/>
      <c r="L1199" s="209"/>
      <c r="M1199" s="207"/>
      <c r="N1199" s="209"/>
      <c r="O1199" s="209"/>
      <c r="P1199" s="209"/>
      <c r="Q1199" s="209"/>
      <c r="R1199" s="209"/>
      <c r="S1199" s="210"/>
    </row>
    <row r="1200" spans="1:19" s="14" customFormat="1" ht="57" x14ac:dyDescent="0.7">
      <c r="A1200" s="248"/>
      <c r="B1200" s="214"/>
      <c r="C1200" s="207"/>
      <c r="D1200" s="232"/>
      <c r="E1200" s="232"/>
      <c r="F1200" s="209"/>
      <c r="G1200" s="209"/>
      <c r="H1200" s="209"/>
      <c r="I1200" s="209"/>
      <c r="J1200" s="209"/>
      <c r="K1200" s="209"/>
      <c r="L1200" s="209"/>
      <c r="M1200" s="207"/>
      <c r="N1200" s="209"/>
      <c r="O1200" s="209"/>
      <c r="P1200" s="209"/>
      <c r="Q1200" s="209"/>
      <c r="R1200" s="209"/>
      <c r="S1200" s="210"/>
    </row>
    <row r="1201" spans="1:19" s="14" customFormat="1" ht="57" x14ac:dyDescent="0.7">
      <c r="A1201" s="248"/>
      <c r="B1201" s="214"/>
      <c r="C1201" s="207"/>
      <c r="D1201" s="232"/>
      <c r="E1201" s="232"/>
      <c r="F1201" s="209"/>
      <c r="G1201" s="209"/>
      <c r="H1201" s="209"/>
      <c r="I1201" s="209"/>
      <c r="J1201" s="209"/>
      <c r="K1201" s="209"/>
      <c r="L1201" s="209"/>
      <c r="M1201" s="207"/>
      <c r="N1201" s="209"/>
      <c r="O1201" s="209"/>
      <c r="P1201" s="209"/>
      <c r="Q1201" s="209"/>
      <c r="R1201" s="209"/>
      <c r="S1201" s="210"/>
    </row>
    <row r="1202" spans="1:19" s="14" customFormat="1" ht="57" x14ac:dyDescent="0.7">
      <c r="A1202" s="248"/>
      <c r="B1202" s="214"/>
      <c r="C1202" s="207"/>
      <c r="D1202" s="232"/>
      <c r="E1202" s="232"/>
      <c r="F1202" s="209"/>
      <c r="G1202" s="209"/>
      <c r="H1202" s="209"/>
      <c r="I1202" s="209"/>
      <c r="J1202" s="209"/>
      <c r="K1202" s="209"/>
      <c r="L1202" s="209"/>
      <c r="M1202" s="207"/>
      <c r="N1202" s="209"/>
      <c r="O1202" s="209"/>
      <c r="P1202" s="209"/>
      <c r="Q1202" s="209"/>
      <c r="R1202" s="209"/>
      <c r="S1202" s="210"/>
    </row>
    <row r="1203" spans="1:19" s="14" customFormat="1" ht="57" x14ac:dyDescent="0.7">
      <c r="A1203" s="248"/>
      <c r="B1203" s="214"/>
      <c r="C1203" s="207"/>
      <c r="D1203" s="232"/>
      <c r="E1203" s="232"/>
      <c r="F1203" s="209"/>
      <c r="G1203" s="209"/>
      <c r="H1203" s="209"/>
      <c r="I1203" s="209"/>
      <c r="J1203" s="209"/>
      <c r="K1203" s="209"/>
      <c r="L1203" s="209"/>
      <c r="M1203" s="207"/>
      <c r="N1203" s="209"/>
      <c r="O1203" s="209"/>
      <c r="P1203" s="209"/>
      <c r="Q1203" s="209"/>
      <c r="R1203" s="209"/>
      <c r="S1203" s="210"/>
    </row>
    <row r="1204" spans="1:19" s="14" customFormat="1" ht="57" x14ac:dyDescent="0.7">
      <c r="A1204" s="248"/>
      <c r="B1204" s="214"/>
      <c r="C1204" s="207"/>
      <c r="D1204" s="232"/>
      <c r="E1204" s="232"/>
      <c r="F1204" s="209"/>
      <c r="G1204" s="209"/>
      <c r="H1204" s="209"/>
      <c r="I1204" s="209"/>
      <c r="J1204" s="209"/>
      <c r="K1204" s="209"/>
      <c r="L1204" s="209"/>
      <c r="M1204" s="207"/>
      <c r="N1204" s="209"/>
      <c r="O1204" s="209"/>
      <c r="P1204" s="209"/>
      <c r="Q1204" s="209"/>
      <c r="R1204" s="209"/>
      <c r="S1204" s="210"/>
    </row>
    <row r="1205" spans="1:19" s="14" customFormat="1" ht="57" x14ac:dyDescent="0.7">
      <c r="A1205" s="248"/>
      <c r="B1205" s="214"/>
      <c r="C1205" s="207"/>
      <c r="D1205" s="232"/>
      <c r="E1205" s="232"/>
      <c r="F1205" s="209"/>
      <c r="G1205" s="209"/>
      <c r="H1205" s="209"/>
      <c r="I1205" s="209"/>
      <c r="J1205" s="209"/>
      <c r="K1205" s="209"/>
      <c r="L1205" s="209"/>
      <c r="M1205" s="207"/>
      <c r="N1205" s="209"/>
      <c r="O1205" s="209"/>
      <c r="P1205" s="209"/>
      <c r="Q1205" s="209"/>
      <c r="R1205" s="209"/>
      <c r="S1205" s="210"/>
    </row>
    <row r="1206" spans="1:19" s="14" customFormat="1" ht="57" x14ac:dyDescent="0.7">
      <c r="A1206" s="248"/>
      <c r="B1206" s="214"/>
      <c r="C1206" s="207"/>
      <c r="D1206" s="232"/>
      <c r="E1206" s="232"/>
      <c r="F1206" s="209"/>
      <c r="G1206" s="209"/>
      <c r="H1206" s="209"/>
      <c r="I1206" s="209"/>
      <c r="J1206" s="209"/>
      <c r="K1206" s="209"/>
      <c r="L1206" s="209"/>
      <c r="M1206" s="207"/>
      <c r="N1206" s="209"/>
      <c r="O1206" s="209"/>
      <c r="P1206" s="209"/>
      <c r="Q1206" s="209"/>
      <c r="R1206" s="209"/>
      <c r="S1206" s="210"/>
    </row>
    <row r="1207" spans="1:19" s="14" customFormat="1" ht="57" x14ac:dyDescent="0.7">
      <c r="A1207" s="248"/>
      <c r="B1207" s="214"/>
      <c r="C1207" s="207"/>
      <c r="D1207" s="232"/>
      <c r="E1207" s="232"/>
      <c r="F1207" s="209"/>
      <c r="G1207" s="209"/>
      <c r="H1207" s="209"/>
      <c r="I1207" s="209"/>
      <c r="J1207" s="209"/>
      <c r="K1207" s="209"/>
      <c r="L1207" s="209"/>
      <c r="M1207" s="207"/>
      <c r="N1207" s="209"/>
      <c r="O1207" s="209"/>
      <c r="P1207" s="209"/>
      <c r="Q1207" s="209"/>
      <c r="R1207" s="209"/>
      <c r="S1207" s="210"/>
    </row>
    <row r="1208" spans="1:19" s="14" customFormat="1" ht="57" x14ac:dyDescent="0.7">
      <c r="A1208" s="248"/>
      <c r="B1208" s="214"/>
      <c r="C1208" s="207"/>
      <c r="D1208" s="232"/>
      <c r="E1208" s="232"/>
      <c r="F1208" s="209"/>
      <c r="G1208" s="209"/>
      <c r="H1208" s="209"/>
      <c r="I1208" s="209"/>
      <c r="J1208" s="209"/>
      <c r="K1208" s="209"/>
      <c r="L1208" s="209"/>
      <c r="M1208" s="207"/>
      <c r="N1208" s="209"/>
      <c r="O1208" s="209"/>
      <c r="P1208" s="209"/>
      <c r="Q1208" s="209"/>
      <c r="R1208" s="209"/>
      <c r="S1208" s="210"/>
    </row>
    <row r="1209" spans="1:19" s="14" customFormat="1" ht="57" x14ac:dyDescent="0.7">
      <c r="A1209" s="248"/>
      <c r="B1209" s="214"/>
      <c r="C1209" s="207"/>
      <c r="D1209" s="232"/>
      <c r="E1209" s="232"/>
      <c r="F1209" s="209"/>
      <c r="G1209" s="209"/>
      <c r="H1209" s="209"/>
      <c r="I1209" s="209"/>
      <c r="J1209" s="209"/>
      <c r="K1209" s="209"/>
      <c r="L1209" s="209"/>
      <c r="M1209" s="207"/>
      <c r="N1209" s="209"/>
      <c r="O1209" s="209"/>
      <c r="P1209" s="209"/>
      <c r="Q1209" s="209"/>
      <c r="R1209" s="209"/>
      <c r="S1209" s="210"/>
    </row>
    <row r="1210" spans="1:19" s="14" customFormat="1" ht="57" x14ac:dyDescent="0.7">
      <c r="A1210" s="248"/>
      <c r="B1210" s="214"/>
      <c r="C1210" s="207"/>
      <c r="D1210" s="232"/>
      <c r="E1210" s="232"/>
      <c r="F1210" s="209"/>
      <c r="G1210" s="209"/>
      <c r="H1210" s="209"/>
      <c r="I1210" s="209"/>
      <c r="J1210" s="209"/>
      <c r="K1210" s="209"/>
      <c r="L1210" s="209"/>
      <c r="M1210" s="207"/>
      <c r="N1210" s="209"/>
      <c r="O1210" s="209"/>
      <c r="P1210" s="209"/>
      <c r="Q1210" s="209"/>
      <c r="R1210" s="209"/>
      <c r="S1210" s="210"/>
    </row>
    <row r="1211" spans="1:19" s="14" customFormat="1" ht="57" x14ac:dyDescent="0.7">
      <c r="A1211" s="248"/>
      <c r="B1211" s="214"/>
      <c r="C1211" s="207"/>
      <c r="D1211" s="232"/>
      <c r="E1211" s="232"/>
      <c r="F1211" s="209"/>
      <c r="G1211" s="209"/>
      <c r="H1211" s="209"/>
      <c r="I1211" s="209"/>
      <c r="J1211" s="209"/>
      <c r="K1211" s="209"/>
      <c r="L1211" s="209"/>
      <c r="M1211" s="207"/>
      <c r="N1211" s="209"/>
      <c r="O1211" s="209"/>
      <c r="P1211" s="209"/>
      <c r="Q1211" s="209"/>
      <c r="R1211" s="209"/>
      <c r="S1211" s="210"/>
    </row>
    <row r="1212" spans="1:19" s="14" customFormat="1" ht="57" x14ac:dyDescent="0.7">
      <c r="A1212" s="248"/>
      <c r="B1212" s="214"/>
      <c r="C1212" s="207"/>
      <c r="D1212" s="232"/>
      <c r="E1212" s="232"/>
      <c r="F1212" s="209"/>
      <c r="G1212" s="209"/>
      <c r="H1212" s="209"/>
      <c r="I1212" s="209"/>
      <c r="J1212" s="209"/>
      <c r="K1212" s="209"/>
      <c r="L1212" s="209"/>
      <c r="M1212" s="207"/>
      <c r="N1212" s="209"/>
      <c r="O1212" s="209"/>
      <c r="P1212" s="209"/>
      <c r="Q1212" s="209"/>
      <c r="R1212" s="209"/>
      <c r="S1212" s="210"/>
    </row>
    <row r="1213" spans="1:19" s="14" customFormat="1" ht="57" x14ac:dyDescent="0.7">
      <c r="A1213" s="248"/>
      <c r="B1213" s="214"/>
      <c r="C1213" s="207"/>
      <c r="D1213" s="232"/>
      <c r="E1213" s="232"/>
      <c r="F1213" s="209"/>
      <c r="G1213" s="209"/>
      <c r="H1213" s="209"/>
      <c r="I1213" s="209"/>
      <c r="J1213" s="209"/>
      <c r="K1213" s="209"/>
      <c r="L1213" s="209"/>
      <c r="M1213" s="207"/>
      <c r="N1213" s="209"/>
      <c r="O1213" s="209"/>
      <c r="P1213" s="209"/>
      <c r="Q1213" s="209"/>
      <c r="R1213" s="209"/>
      <c r="S1213" s="210"/>
    </row>
    <row r="1214" spans="1:19" s="14" customFormat="1" ht="57" x14ac:dyDescent="0.7">
      <c r="A1214" s="248"/>
      <c r="B1214" s="214"/>
      <c r="C1214" s="207"/>
      <c r="D1214" s="232"/>
      <c r="E1214" s="232"/>
      <c r="F1214" s="209"/>
      <c r="G1214" s="209"/>
      <c r="H1214" s="209"/>
      <c r="I1214" s="209"/>
      <c r="J1214" s="209"/>
      <c r="K1214" s="209"/>
      <c r="L1214" s="209"/>
      <c r="M1214" s="207"/>
      <c r="N1214" s="209"/>
      <c r="O1214" s="209"/>
      <c r="P1214" s="209"/>
      <c r="Q1214" s="209"/>
      <c r="R1214" s="209"/>
      <c r="S1214" s="210"/>
    </row>
    <row r="1215" spans="1:19" s="14" customFormat="1" ht="57" x14ac:dyDescent="0.7">
      <c r="A1215" s="248"/>
      <c r="B1215" s="214"/>
      <c r="C1215" s="207"/>
      <c r="D1215" s="232"/>
      <c r="E1215" s="232"/>
      <c r="F1215" s="209"/>
      <c r="G1215" s="209"/>
      <c r="H1215" s="209"/>
      <c r="I1215" s="209"/>
      <c r="J1215" s="209"/>
      <c r="K1215" s="209"/>
      <c r="L1215" s="209"/>
      <c r="M1215" s="207"/>
      <c r="N1215" s="209"/>
      <c r="O1215" s="209"/>
      <c r="P1215" s="209"/>
      <c r="Q1215" s="209"/>
      <c r="R1215" s="209"/>
      <c r="S1215" s="210"/>
    </row>
    <row r="1216" spans="1:19" s="14" customFormat="1" ht="57" x14ac:dyDescent="0.7">
      <c r="A1216" s="248"/>
      <c r="B1216" s="214"/>
      <c r="C1216" s="207"/>
      <c r="D1216" s="232"/>
      <c r="E1216" s="232"/>
      <c r="F1216" s="209"/>
      <c r="G1216" s="209"/>
      <c r="H1216" s="209"/>
      <c r="I1216" s="209"/>
      <c r="J1216" s="209"/>
      <c r="K1216" s="209"/>
      <c r="L1216" s="209"/>
      <c r="M1216" s="207"/>
      <c r="N1216" s="209"/>
      <c r="O1216" s="209"/>
      <c r="P1216" s="209"/>
      <c r="Q1216" s="209"/>
      <c r="R1216" s="209"/>
      <c r="S1216" s="210"/>
    </row>
    <row r="1217" spans="1:19" s="14" customFormat="1" ht="57" x14ac:dyDescent="0.7">
      <c r="A1217" s="248"/>
      <c r="B1217" s="214"/>
      <c r="C1217" s="207"/>
      <c r="D1217" s="232"/>
      <c r="E1217" s="232"/>
      <c r="F1217" s="209"/>
      <c r="G1217" s="209"/>
      <c r="H1217" s="209"/>
      <c r="I1217" s="209"/>
      <c r="J1217" s="209"/>
      <c r="K1217" s="209"/>
      <c r="L1217" s="209"/>
      <c r="M1217" s="207"/>
      <c r="N1217" s="209"/>
      <c r="O1217" s="209"/>
      <c r="P1217" s="209"/>
      <c r="Q1217" s="209"/>
      <c r="R1217" s="209"/>
      <c r="S1217" s="210"/>
    </row>
    <row r="1218" spans="1:19" s="14" customFormat="1" ht="57" x14ac:dyDescent="0.7">
      <c r="A1218" s="248"/>
      <c r="B1218" s="214"/>
      <c r="C1218" s="207"/>
      <c r="D1218" s="232"/>
      <c r="E1218" s="232"/>
      <c r="F1218" s="209"/>
      <c r="G1218" s="209"/>
      <c r="H1218" s="209"/>
      <c r="I1218" s="209"/>
      <c r="J1218" s="209"/>
      <c r="K1218" s="209"/>
      <c r="L1218" s="209"/>
      <c r="M1218" s="207"/>
      <c r="N1218" s="209"/>
      <c r="O1218" s="209"/>
      <c r="P1218" s="209"/>
      <c r="Q1218" s="209"/>
      <c r="R1218" s="209"/>
      <c r="S1218" s="210"/>
    </row>
    <row r="1219" spans="1:19" s="14" customFormat="1" ht="57" x14ac:dyDescent="0.7">
      <c r="A1219" s="248"/>
      <c r="B1219" s="214"/>
      <c r="C1219" s="207"/>
      <c r="D1219" s="232"/>
      <c r="E1219" s="232"/>
      <c r="F1219" s="209"/>
      <c r="G1219" s="209"/>
      <c r="H1219" s="209"/>
      <c r="I1219" s="209"/>
      <c r="J1219" s="209"/>
      <c r="K1219" s="209"/>
      <c r="L1219" s="209"/>
      <c r="M1219" s="207"/>
      <c r="N1219" s="209"/>
      <c r="O1219" s="209"/>
      <c r="P1219" s="209"/>
      <c r="Q1219" s="209"/>
      <c r="R1219" s="209"/>
      <c r="S1219" s="210"/>
    </row>
    <row r="1220" spans="1:19" s="14" customFormat="1" ht="57" x14ac:dyDescent="0.7">
      <c r="A1220" s="248"/>
      <c r="B1220" s="214"/>
      <c r="C1220" s="207"/>
      <c r="D1220" s="232"/>
      <c r="E1220" s="232"/>
      <c r="F1220" s="209"/>
      <c r="G1220" s="209"/>
      <c r="H1220" s="209"/>
      <c r="I1220" s="209"/>
      <c r="J1220" s="209"/>
      <c r="K1220" s="209"/>
      <c r="L1220" s="209"/>
      <c r="M1220" s="207"/>
      <c r="N1220" s="209"/>
      <c r="O1220" s="209"/>
      <c r="P1220" s="209"/>
      <c r="Q1220" s="209"/>
      <c r="R1220" s="209"/>
      <c r="S1220" s="210"/>
    </row>
    <row r="1221" spans="1:19" s="14" customFormat="1" ht="57" x14ac:dyDescent="0.7">
      <c r="A1221" s="248"/>
      <c r="B1221" s="214"/>
      <c r="C1221" s="207"/>
      <c r="D1221" s="232"/>
      <c r="E1221" s="232"/>
      <c r="F1221" s="209"/>
      <c r="G1221" s="209"/>
      <c r="H1221" s="209"/>
      <c r="I1221" s="209"/>
      <c r="J1221" s="209"/>
      <c r="K1221" s="209"/>
      <c r="L1221" s="209"/>
      <c r="M1221" s="207"/>
      <c r="N1221" s="209"/>
      <c r="O1221" s="209"/>
      <c r="P1221" s="209"/>
      <c r="Q1221" s="209"/>
      <c r="R1221" s="209"/>
      <c r="S1221" s="210"/>
    </row>
    <row r="1222" spans="1:19" s="14" customFormat="1" ht="57" x14ac:dyDescent="0.7">
      <c r="A1222" s="248"/>
      <c r="B1222" s="214"/>
      <c r="C1222" s="207"/>
      <c r="D1222" s="232"/>
      <c r="E1222" s="232"/>
      <c r="F1222" s="209"/>
      <c r="G1222" s="209"/>
      <c r="H1222" s="209"/>
      <c r="I1222" s="209"/>
      <c r="J1222" s="209"/>
      <c r="K1222" s="209"/>
      <c r="L1222" s="209"/>
      <c r="M1222" s="207"/>
      <c r="N1222" s="209"/>
      <c r="O1222" s="209"/>
      <c r="P1222" s="209"/>
      <c r="Q1222" s="209"/>
      <c r="R1222" s="209"/>
      <c r="S1222" s="210"/>
    </row>
    <row r="1223" spans="1:19" s="14" customFormat="1" ht="57" x14ac:dyDescent="0.7">
      <c r="A1223" s="248"/>
      <c r="B1223" s="214"/>
      <c r="C1223" s="207"/>
      <c r="D1223" s="232"/>
      <c r="E1223" s="232"/>
      <c r="F1223" s="209"/>
      <c r="G1223" s="209"/>
      <c r="H1223" s="209"/>
      <c r="I1223" s="209"/>
      <c r="J1223" s="209"/>
      <c r="K1223" s="209"/>
      <c r="L1223" s="209"/>
      <c r="M1223" s="207"/>
      <c r="N1223" s="209"/>
      <c r="O1223" s="209"/>
      <c r="P1223" s="209"/>
      <c r="Q1223" s="209"/>
      <c r="R1223" s="209"/>
      <c r="S1223" s="210"/>
    </row>
    <row r="1224" spans="1:19" s="14" customFormat="1" ht="57" x14ac:dyDescent="0.7">
      <c r="A1224" s="248"/>
      <c r="B1224" s="214"/>
      <c r="C1224" s="207"/>
      <c r="D1224" s="232"/>
      <c r="E1224" s="232"/>
      <c r="F1224" s="209"/>
      <c r="G1224" s="209"/>
      <c r="H1224" s="209"/>
      <c r="I1224" s="209"/>
      <c r="J1224" s="209"/>
      <c r="K1224" s="209"/>
      <c r="L1224" s="209"/>
      <c r="M1224" s="207"/>
      <c r="N1224" s="209"/>
      <c r="O1224" s="209"/>
      <c r="P1224" s="209"/>
      <c r="Q1224" s="209"/>
      <c r="R1224" s="209"/>
      <c r="S1224" s="210"/>
    </row>
    <row r="1225" spans="1:19" s="14" customFormat="1" ht="57" x14ac:dyDescent="0.7">
      <c r="A1225" s="248"/>
      <c r="B1225" s="214"/>
      <c r="C1225" s="207"/>
      <c r="D1225" s="232"/>
      <c r="E1225" s="232"/>
      <c r="F1225" s="209"/>
      <c r="G1225" s="209"/>
      <c r="H1225" s="209"/>
      <c r="I1225" s="209"/>
      <c r="J1225" s="209"/>
      <c r="K1225" s="209"/>
      <c r="L1225" s="209"/>
      <c r="M1225" s="207"/>
      <c r="N1225" s="209"/>
      <c r="O1225" s="209"/>
      <c r="P1225" s="209"/>
      <c r="Q1225" s="209"/>
      <c r="R1225" s="209"/>
      <c r="S1225" s="210"/>
    </row>
    <row r="1226" spans="1:19" s="14" customFormat="1" ht="57" x14ac:dyDescent="0.7">
      <c r="A1226" s="248"/>
      <c r="B1226" s="214"/>
      <c r="C1226" s="207"/>
      <c r="D1226" s="232"/>
      <c r="E1226" s="232"/>
      <c r="F1226" s="209"/>
      <c r="G1226" s="209"/>
      <c r="H1226" s="209"/>
      <c r="I1226" s="209"/>
      <c r="J1226" s="209"/>
      <c r="K1226" s="209"/>
      <c r="L1226" s="209"/>
      <c r="M1226" s="207"/>
      <c r="N1226" s="209"/>
      <c r="O1226" s="209"/>
      <c r="P1226" s="209"/>
      <c r="Q1226" s="209"/>
      <c r="R1226" s="209"/>
      <c r="S1226" s="210"/>
    </row>
    <row r="1227" spans="1:19" s="14" customFormat="1" ht="57" x14ac:dyDescent="0.7">
      <c r="A1227" s="248"/>
      <c r="B1227" s="214"/>
      <c r="C1227" s="207"/>
      <c r="D1227" s="232"/>
      <c r="E1227" s="232"/>
      <c r="F1227" s="209"/>
      <c r="G1227" s="209"/>
      <c r="H1227" s="209"/>
      <c r="I1227" s="209"/>
      <c r="J1227" s="209"/>
      <c r="K1227" s="209"/>
      <c r="L1227" s="209"/>
      <c r="M1227" s="207"/>
      <c r="N1227" s="209"/>
      <c r="O1227" s="209"/>
      <c r="P1227" s="209"/>
      <c r="Q1227" s="209"/>
      <c r="R1227" s="209"/>
      <c r="S1227" s="210"/>
    </row>
    <row r="1228" spans="1:19" s="14" customFormat="1" ht="57" x14ac:dyDescent="0.7">
      <c r="A1228" s="248"/>
      <c r="B1228" s="214"/>
      <c r="C1228" s="207"/>
      <c r="D1228" s="232"/>
      <c r="E1228" s="232"/>
      <c r="F1228" s="209"/>
      <c r="G1228" s="209"/>
      <c r="H1228" s="209"/>
      <c r="I1228" s="209"/>
      <c r="J1228" s="209"/>
      <c r="K1228" s="209"/>
      <c r="L1228" s="209"/>
      <c r="M1228" s="207"/>
      <c r="N1228" s="209"/>
      <c r="O1228" s="209"/>
      <c r="P1228" s="209"/>
      <c r="Q1228" s="209"/>
      <c r="R1228" s="209"/>
      <c r="S1228" s="210"/>
    </row>
    <row r="1229" spans="1:19" s="14" customFormat="1" ht="57" x14ac:dyDescent="0.7">
      <c r="A1229" s="248"/>
      <c r="B1229" s="214"/>
      <c r="C1229" s="207"/>
      <c r="D1229" s="232"/>
      <c r="E1229" s="232"/>
      <c r="F1229" s="209"/>
      <c r="G1229" s="209"/>
      <c r="H1229" s="209"/>
      <c r="I1229" s="209"/>
      <c r="J1229" s="209"/>
      <c r="K1229" s="209"/>
      <c r="L1229" s="209"/>
      <c r="M1229" s="207"/>
      <c r="N1229" s="209"/>
      <c r="O1229" s="209"/>
      <c r="P1229" s="209"/>
      <c r="Q1229" s="209"/>
      <c r="R1229" s="209"/>
      <c r="S1229" s="210"/>
    </row>
    <row r="1230" spans="1:19" s="14" customFormat="1" ht="57" x14ac:dyDescent="0.7">
      <c r="A1230" s="248"/>
      <c r="B1230" s="214"/>
      <c r="C1230" s="207"/>
      <c r="D1230" s="232"/>
      <c r="E1230" s="232"/>
      <c r="F1230" s="209"/>
      <c r="G1230" s="209"/>
      <c r="H1230" s="209"/>
      <c r="I1230" s="209"/>
      <c r="J1230" s="209"/>
      <c r="K1230" s="209"/>
      <c r="L1230" s="209"/>
      <c r="M1230" s="207"/>
      <c r="N1230" s="209"/>
      <c r="O1230" s="209"/>
      <c r="P1230" s="209"/>
      <c r="Q1230" s="209"/>
      <c r="R1230" s="209"/>
      <c r="S1230" s="210"/>
    </row>
    <row r="1231" spans="1:19" s="14" customFormat="1" ht="57" x14ac:dyDescent="0.7">
      <c r="A1231" s="248"/>
      <c r="B1231" s="214"/>
      <c r="C1231" s="207"/>
      <c r="D1231" s="232"/>
      <c r="E1231" s="232"/>
      <c r="F1231" s="209"/>
      <c r="G1231" s="209"/>
      <c r="H1231" s="209"/>
      <c r="I1231" s="209"/>
      <c r="J1231" s="209"/>
      <c r="K1231" s="209"/>
      <c r="L1231" s="209"/>
      <c r="M1231" s="207"/>
      <c r="N1231" s="209"/>
      <c r="O1231" s="209"/>
      <c r="P1231" s="209"/>
      <c r="Q1231" s="209"/>
      <c r="R1231" s="209"/>
      <c r="S1231" s="210"/>
    </row>
    <row r="1232" spans="1:19" s="14" customFormat="1" ht="57" x14ac:dyDescent="0.7">
      <c r="A1232" s="248"/>
      <c r="B1232" s="214"/>
      <c r="C1232" s="207"/>
      <c r="D1232" s="232"/>
      <c r="E1232" s="232"/>
      <c r="F1232" s="209"/>
      <c r="G1232" s="209"/>
      <c r="H1232" s="209"/>
      <c r="I1232" s="209"/>
      <c r="J1232" s="209"/>
      <c r="K1232" s="209"/>
      <c r="L1232" s="209"/>
      <c r="M1232" s="207"/>
      <c r="N1232" s="209"/>
      <c r="O1232" s="209"/>
      <c r="P1232" s="209"/>
      <c r="Q1232" s="209"/>
      <c r="R1232" s="209"/>
      <c r="S1232" s="210"/>
    </row>
    <row r="1233" spans="1:19" s="14" customFormat="1" ht="57" x14ac:dyDescent="0.7">
      <c r="A1233" s="248"/>
      <c r="B1233" s="214"/>
      <c r="C1233" s="207"/>
      <c r="D1233" s="232"/>
      <c r="E1233" s="232"/>
      <c r="F1233" s="209"/>
      <c r="G1233" s="209"/>
      <c r="H1233" s="209"/>
      <c r="I1233" s="209"/>
      <c r="J1233" s="209"/>
      <c r="K1233" s="209"/>
      <c r="L1233" s="209"/>
      <c r="M1233" s="207"/>
      <c r="N1233" s="209"/>
      <c r="O1233" s="209"/>
      <c r="P1233" s="209"/>
      <c r="Q1233" s="209"/>
      <c r="R1233" s="209"/>
      <c r="S1233" s="210"/>
    </row>
    <row r="1234" spans="1:19" s="14" customFormat="1" ht="57" x14ac:dyDescent="0.7">
      <c r="A1234" s="248"/>
      <c r="B1234" s="214"/>
      <c r="C1234" s="207"/>
      <c r="D1234" s="232"/>
      <c r="E1234" s="232"/>
      <c r="F1234" s="209"/>
      <c r="G1234" s="209"/>
      <c r="H1234" s="209"/>
      <c r="I1234" s="209"/>
      <c r="J1234" s="209"/>
      <c r="K1234" s="209"/>
      <c r="L1234" s="209"/>
      <c r="M1234" s="207"/>
      <c r="N1234" s="209"/>
      <c r="O1234" s="209"/>
      <c r="P1234" s="209"/>
      <c r="Q1234" s="209"/>
      <c r="R1234" s="209"/>
      <c r="S1234" s="210"/>
    </row>
    <row r="1235" spans="1:19" s="14" customFormat="1" ht="57" x14ac:dyDescent="0.7">
      <c r="A1235" s="248"/>
      <c r="B1235" s="214"/>
      <c r="C1235" s="207"/>
      <c r="D1235" s="232"/>
      <c r="E1235" s="232"/>
      <c r="F1235" s="209"/>
      <c r="G1235" s="209"/>
      <c r="H1235" s="209"/>
      <c r="I1235" s="209"/>
      <c r="J1235" s="209"/>
      <c r="K1235" s="209"/>
      <c r="L1235" s="209"/>
      <c r="M1235" s="207"/>
      <c r="N1235" s="209"/>
      <c r="O1235" s="209"/>
      <c r="P1235" s="209"/>
      <c r="Q1235" s="209"/>
      <c r="R1235" s="209"/>
      <c r="S1235" s="210"/>
    </row>
    <row r="1236" spans="1:19" s="14" customFormat="1" ht="57" x14ac:dyDescent="0.7">
      <c r="A1236" s="248"/>
      <c r="B1236" s="214"/>
      <c r="C1236" s="207"/>
      <c r="D1236" s="232"/>
      <c r="E1236" s="232"/>
      <c r="F1236" s="209"/>
      <c r="G1236" s="209"/>
      <c r="H1236" s="209"/>
      <c r="I1236" s="209"/>
      <c r="J1236" s="209"/>
      <c r="K1236" s="209"/>
      <c r="L1236" s="209"/>
      <c r="M1236" s="207"/>
      <c r="N1236" s="209"/>
      <c r="O1236" s="209"/>
      <c r="P1236" s="209"/>
      <c r="Q1236" s="209"/>
      <c r="R1236" s="209"/>
      <c r="S1236" s="210"/>
    </row>
    <row r="1237" spans="1:19" s="14" customFormat="1" ht="57" x14ac:dyDescent="0.7">
      <c r="A1237" s="248"/>
      <c r="B1237" s="214"/>
      <c r="C1237" s="207"/>
      <c r="D1237" s="232"/>
      <c r="E1237" s="232"/>
      <c r="F1237" s="209"/>
      <c r="G1237" s="209"/>
      <c r="H1237" s="209"/>
      <c r="I1237" s="209"/>
      <c r="J1237" s="209"/>
      <c r="K1237" s="209"/>
      <c r="L1237" s="209"/>
      <c r="M1237" s="207"/>
      <c r="N1237" s="209"/>
      <c r="O1237" s="209"/>
      <c r="P1237" s="209"/>
      <c r="Q1237" s="209"/>
      <c r="R1237" s="209"/>
      <c r="S1237" s="210"/>
    </row>
    <row r="1238" spans="1:19" s="14" customFormat="1" ht="57" x14ac:dyDescent="0.7">
      <c r="A1238" s="248"/>
      <c r="B1238" s="214"/>
      <c r="C1238" s="207"/>
      <c r="D1238" s="232"/>
      <c r="E1238" s="232"/>
      <c r="F1238" s="209"/>
      <c r="G1238" s="209"/>
      <c r="H1238" s="209"/>
      <c r="I1238" s="209"/>
      <c r="J1238" s="209"/>
      <c r="K1238" s="209"/>
      <c r="L1238" s="209"/>
      <c r="M1238" s="207"/>
      <c r="N1238" s="209"/>
      <c r="O1238" s="209"/>
      <c r="P1238" s="209"/>
      <c r="Q1238" s="209"/>
      <c r="R1238" s="209"/>
      <c r="S1238" s="210"/>
    </row>
    <row r="1239" spans="1:19" s="14" customFormat="1" ht="57" x14ac:dyDescent="0.7">
      <c r="A1239" s="248"/>
      <c r="B1239" s="214"/>
      <c r="C1239" s="207"/>
      <c r="D1239" s="232"/>
      <c r="E1239" s="232"/>
      <c r="F1239" s="209"/>
      <c r="G1239" s="209"/>
      <c r="H1239" s="209"/>
      <c r="I1239" s="209"/>
      <c r="J1239" s="209"/>
      <c r="K1239" s="209"/>
      <c r="L1239" s="209"/>
      <c r="M1239" s="207"/>
      <c r="N1239" s="209"/>
      <c r="O1239" s="209"/>
      <c r="P1239" s="209"/>
      <c r="Q1239" s="209"/>
      <c r="R1239" s="209"/>
      <c r="S1239" s="210"/>
    </row>
    <row r="1240" spans="1:19" s="14" customFormat="1" ht="57" x14ac:dyDescent="0.7">
      <c r="A1240" s="248"/>
      <c r="B1240" s="214"/>
      <c r="C1240" s="207"/>
      <c r="D1240" s="232"/>
      <c r="E1240" s="232"/>
      <c r="F1240" s="209"/>
      <c r="G1240" s="209"/>
      <c r="H1240" s="209"/>
      <c r="I1240" s="209"/>
      <c r="J1240" s="209"/>
      <c r="K1240" s="209"/>
      <c r="L1240" s="209"/>
      <c r="M1240" s="207"/>
      <c r="N1240" s="209"/>
      <c r="O1240" s="209"/>
      <c r="P1240" s="209"/>
      <c r="Q1240" s="209"/>
      <c r="R1240" s="209"/>
      <c r="S1240" s="210"/>
    </row>
    <row r="1241" spans="1:19" s="14" customFormat="1" ht="57" x14ac:dyDescent="0.7">
      <c r="A1241" s="248"/>
      <c r="B1241" s="214"/>
      <c r="C1241" s="207"/>
      <c r="D1241" s="232"/>
      <c r="E1241" s="232"/>
      <c r="F1241" s="209"/>
      <c r="G1241" s="209"/>
      <c r="H1241" s="209"/>
      <c r="I1241" s="209"/>
      <c r="J1241" s="209"/>
      <c r="K1241" s="209"/>
      <c r="L1241" s="209"/>
      <c r="M1241" s="207"/>
      <c r="N1241" s="209"/>
      <c r="O1241" s="209"/>
      <c r="P1241" s="209"/>
      <c r="Q1241" s="209"/>
      <c r="R1241" s="209"/>
      <c r="S1241" s="210"/>
    </row>
    <row r="1242" spans="1:19" s="14" customFormat="1" ht="57" x14ac:dyDescent="0.7">
      <c r="A1242" s="248"/>
      <c r="B1242" s="214"/>
      <c r="C1242" s="207"/>
      <c r="D1242" s="232"/>
      <c r="E1242" s="232"/>
      <c r="F1242" s="209"/>
      <c r="G1242" s="209"/>
      <c r="H1242" s="209"/>
      <c r="I1242" s="209"/>
      <c r="J1242" s="209"/>
      <c r="K1242" s="209"/>
      <c r="L1242" s="209"/>
      <c r="M1242" s="207"/>
      <c r="N1242" s="209"/>
      <c r="O1242" s="209"/>
      <c r="P1242" s="209"/>
      <c r="Q1242" s="209"/>
      <c r="R1242" s="209"/>
      <c r="S1242" s="210"/>
    </row>
    <row r="1243" spans="1:19" s="14" customFormat="1" ht="57" x14ac:dyDescent="0.7">
      <c r="A1243" s="248"/>
      <c r="B1243" s="214"/>
      <c r="C1243" s="207"/>
      <c r="D1243" s="232"/>
      <c r="E1243" s="232"/>
      <c r="F1243" s="209"/>
      <c r="G1243" s="209"/>
      <c r="H1243" s="209"/>
      <c r="I1243" s="209"/>
      <c r="J1243" s="209"/>
      <c r="K1243" s="209"/>
      <c r="L1243" s="209"/>
      <c r="M1243" s="207"/>
      <c r="N1243" s="209"/>
      <c r="O1243" s="209"/>
      <c r="P1243" s="209"/>
      <c r="Q1243" s="209"/>
      <c r="R1243" s="209"/>
      <c r="S1243" s="210"/>
    </row>
    <row r="1244" spans="1:19" s="14" customFormat="1" ht="57" x14ac:dyDescent="0.7">
      <c r="A1244" s="248"/>
      <c r="B1244" s="214"/>
      <c r="C1244" s="207"/>
      <c r="D1244" s="232"/>
      <c r="E1244" s="232"/>
      <c r="F1244" s="209"/>
      <c r="G1244" s="209"/>
      <c r="H1244" s="209"/>
      <c r="I1244" s="209"/>
      <c r="J1244" s="209"/>
      <c r="K1244" s="209"/>
      <c r="L1244" s="209"/>
      <c r="M1244" s="207"/>
      <c r="N1244" s="209"/>
      <c r="O1244" s="209"/>
      <c r="P1244" s="209"/>
      <c r="Q1244" s="209"/>
      <c r="R1244" s="209"/>
      <c r="S1244" s="210"/>
    </row>
    <row r="1245" spans="1:19" s="14" customFormat="1" ht="57" x14ac:dyDescent="0.7">
      <c r="A1245" s="248"/>
      <c r="B1245" s="214"/>
      <c r="C1245" s="207"/>
      <c r="D1245" s="232"/>
      <c r="E1245" s="232"/>
      <c r="F1245" s="209"/>
      <c r="G1245" s="209"/>
      <c r="H1245" s="209"/>
      <c r="I1245" s="209"/>
      <c r="J1245" s="209"/>
      <c r="K1245" s="209"/>
      <c r="L1245" s="209"/>
      <c r="M1245" s="207"/>
      <c r="N1245" s="209"/>
      <c r="O1245" s="209"/>
      <c r="P1245" s="209"/>
      <c r="Q1245" s="209"/>
      <c r="R1245" s="209"/>
      <c r="S1245" s="210"/>
    </row>
    <row r="1246" spans="1:19" s="14" customFormat="1" ht="57" x14ac:dyDescent="0.7">
      <c r="A1246" s="248"/>
      <c r="B1246" s="214"/>
      <c r="C1246" s="207"/>
      <c r="D1246" s="232"/>
      <c r="E1246" s="232"/>
      <c r="F1246" s="209"/>
      <c r="G1246" s="209"/>
      <c r="H1246" s="209"/>
      <c r="I1246" s="209"/>
      <c r="J1246" s="209"/>
      <c r="K1246" s="209"/>
      <c r="L1246" s="209"/>
      <c r="M1246" s="207"/>
      <c r="N1246" s="209"/>
      <c r="O1246" s="209"/>
      <c r="P1246" s="209"/>
      <c r="Q1246" s="209"/>
      <c r="R1246" s="209"/>
      <c r="S1246" s="210"/>
    </row>
    <row r="1247" spans="1:19" s="14" customFormat="1" ht="57" x14ac:dyDescent="0.7">
      <c r="A1247" s="248"/>
      <c r="B1247" s="214"/>
      <c r="C1247" s="207"/>
      <c r="D1247" s="232"/>
      <c r="E1247" s="232"/>
      <c r="F1247" s="209"/>
      <c r="G1247" s="209"/>
      <c r="H1247" s="209"/>
      <c r="I1247" s="209"/>
      <c r="J1247" s="209"/>
      <c r="K1247" s="209"/>
      <c r="L1247" s="209"/>
      <c r="M1247" s="207"/>
      <c r="N1247" s="209"/>
      <c r="O1247" s="209"/>
      <c r="P1247" s="209"/>
      <c r="Q1247" s="209"/>
      <c r="R1247" s="209"/>
      <c r="S1247" s="210"/>
    </row>
    <row r="1248" spans="1:19" s="14" customFormat="1" ht="57" x14ac:dyDescent="0.7">
      <c r="A1248" s="248"/>
      <c r="B1248" s="214"/>
      <c r="C1248" s="207"/>
      <c r="D1248" s="232"/>
      <c r="E1248" s="232"/>
      <c r="F1248" s="209"/>
      <c r="G1248" s="209"/>
      <c r="H1248" s="209"/>
      <c r="I1248" s="209"/>
      <c r="J1248" s="209"/>
      <c r="K1248" s="209"/>
      <c r="L1248" s="209"/>
      <c r="M1248" s="207"/>
      <c r="N1248" s="209"/>
      <c r="O1248" s="209"/>
      <c r="P1248" s="209"/>
      <c r="Q1248" s="209"/>
      <c r="R1248" s="209"/>
      <c r="S1248" s="210"/>
    </row>
    <row r="1249" spans="1:19" s="14" customFormat="1" ht="57" x14ac:dyDescent="0.7">
      <c r="A1249" s="248"/>
      <c r="B1249" s="214"/>
      <c r="C1249" s="207"/>
      <c r="D1249" s="232"/>
      <c r="E1249" s="232"/>
      <c r="F1249" s="209"/>
      <c r="G1249" s="209"/>
      <c r="H1249" s="209"/>
      <c r="I1249" s="209"/>
      <c r="J1249" s="209"/>
      <c r="K1249" s="209"/>
      <c r="L1249" s="209"/>
      <c r="M1249" s="207"/>
      <c r="N1249" s="209"/>
      <c r="O1249" s="209"/>
      <c r="P1249" s="209"/>
      <c r="Q1249" s="209"/>
      <c r="R1249" s="209"/>
      <c r="S1249" s="210"/>
    </row>
    <row r="1250" spans="1:19" s="14" customFormat="1" ht="57" x14ac:dyDescent="0.7">
      <c r="A1250" s="248"/>
      <c r="B1250" s="214"/>
      <c r="C1250" s="207"/>
      <c r="D1250" s="232"/>
      <c r="E1250" s="232"/>
      <c r="F1250" s="209"/>
      <c r="G1250" s="209"/>
      <c r="H1250" s="209"/>
      <c r="I1250" s="209"/>
      <c r="J1250" s="209"/>
      <c r="K1250" s="209"/>
      <c r="L1250" s="209"/>
      <c r="M1250" s="207"/>
      <c r="N1250" s="209"/>
      <c r="O1250" s="209"/>
      <c r="P1250" s="209"/>
      <c r="Q1250" s="209"/>
      <c r="R1250" s="209"/>
      <c r="S1250" s="210"/>
    </row>
    <row r="1251" spans="1:19" s="14" customFormat="1" ht="57" x14ac:dyDescent="0.7">
      <c r="A1251" s="248"/>
      <c r="B1251" s="214"/>
      <c r="C1251" s="207"/>
      <c r="D1251" s="232"/>
      <c r="E1251" s="232"/>
      <c r="F1251" s="209"/>
      <c r="G1251" s="209"/>
      <c r="H1251" s="209"/>
      <c r="I1251" s="209"/>
      <c r="J1251" s="209"/>
      <c r="K1251" s="209"/>
      <c r="L1251" s="209"/>
      <c r="M1251" s="207"/>
      <c r="N1251" s="209"/>
      <c r="O1251" s="209"/>
      <c r="P1251" s="209"/>
      <c r="Q1251" s="209"/>
      <c r="R1251" s="209"/>
      <c r="S1251" s="210"/>
    </row>
    <row r="1252" spans="1:19" s="14" customFormat="1" ht="57" x14ac:dyDescent="0.7">
      <c r="A1252" s="248"/>
      <c r="B1252" s="214"/>
      <c r="C1252" s="207"/>
      <c r="D1252" s="232"/>
      <c r="E1252" s="232"/>
      <c r="F1252" s="209"/>
      <c r="G1252" s="209"/>
      <c r="H1252" s="209"/>
      <c r="I1252" s="209"/>
      <c r="J1252" s="209"/>
      <c r="K1252" s="209"/>
      <c r="L1252" s="209"/>
      <c r="M1252" s="207"/>
      <c r="N1252" s="209"/>
      <c r="O1252" s="209"/>
      <c r="P1252" s="209"/>
      <c r="Q1252" s="209"/>
      <c r="R1252" s="209"/>
      <c r="S1252" s="210"/>
    </row>
    <row r="1253" spans="1:19" s="14" customFormat="1" ht="57" x14ac:dyDescent="0.7">
      <c r="A1253" s="248"/>
      <c r="B1253" s="214"/>
      <c r="C1253" s="207"/>
      <c r="D1253" s="232"/>
      <c r="E1253" s="232"/>
      <c r="F1253" s="209"/>
      <c r="G1253" s="209"/>
      <c r="H1253" s="209"/>
      <c r="I1253" s="209"/>
      <c r="J1253" s="209"/>
      <c r="K1253" s="209"/>
      <c r="L1253" s="209"/>
      <c r="M1253" s="207"/>
      <c r="N1253" s="209"/>
      <c r="O1253" s="209"/>
      <c r="P1253" s="209"/>
      <c r="Q1253" s="209"/>
      <c r="R1253" s="209"/>
      <c r="S1253" s="210"/>
    </row>
    <row r="1254" spans="1:19" s="14" customFormat="1" ht="57" x14ac:dyDescent="0.7">
      <c r="A1254" s="248"/>
      <c r="B1254" s="214"/>
      <c r="C1254" s="207"/>
      <c r="D1254" s="232"/>
      <c r="E1254" s="232"/>
      <c r="F1254" s="209"/>
      <c r="G1254" s="209"/>
      <c r="H1254" s="209"/>
      <c r="I1254" s="209"/>
      <c r="J1254" s="209"/>
      <c r="K1254" s="209"/>
      <c r="L1254" s="209"/>
      <c r="M1254" s="207"/>
      <c r="N1254" s="209"/>
      <c r="O1254" s="209"/>
      <c r="P1254" s="209"/>
      <c r="Q1254" s="209"/>
      <c r="R1254" s="209"/>
      <c r="S1254" s="210"/>
    </row>
    <row r="1255" spans="1:19" s="14" customFormat="1" ht="57" x14ac:dyDescent="0.7">
      <c r="A1255" s="248"/>
      <c r="B1255" s="214"/>
      <c r="C1255" s="207"/>
      <c r="D1255" s="232"/>
      <c r="E1255" s="232"/>
      <c r="F1255" s="209"/>
      <c r="G1255" s="209"/>
      <c r="H1255" s="209"/>
      <c r="I1255" s="209"/>
      <c r="J1255" s="209"/>
      <c r="K1255" s="209"/>
      <c r="L1255" s="209"/>
      <c r="M1255" s="207"/>
      <c r="N1255" s="209"/>
      <c r="O1255" s="209"/>
      <c r="P1255" s="209"/>
      <c r="Q1255" s="209"/>
      <c r="R1255" s="209"/>
      <c r="S1255" s="210"/>
    </row>
    <row r="1256" spans="1:19" s="14" customFormat="1" ht="57" x14ac:dyDescent="0.7">
      <c r="A1256" s="248"/>
      <c r="B1256" s="214"/>
      <c r="C1256" s="207"/>
      <c r="D1256" s="232"/>
      <c r="E1256" s="232"/>
      <c r="F1256" s="209"/>
      <c r="G1256" s="209"/>
      <c r="H1256" s="209"/>
      <c r="I1256" s="209"/>
      <c r="J1256" s="209"/>
      <c r="K1256" s="209"/>
      <c r="L1256" s="209"/>
      <c r="M1256" s="207"/>
      <c r="N1256" s="209"/>
      <c r="O1256" s="209"/>
      <c r="P1256" s="209"/>
      <c r="Q1256" s="209"/>
      <c r="R1256" s="209"/>
      <c r="S1256" s="210"/>
    </row>
    <row r="1257" spans="1:19" s="14" customFormat="1" ht="57" x14ac:dyDescent="0.7">
      <c r="A1257" s="248"/>
      <c r="B1257" s="214"/>
      <c r="C1257" s="207"/>
      <c r="D1257" s="232"/>
      <c r="E1257" s="232"/>
      <c r="F1257" s="209"/>
      <c r="G1257" s="209"/>
      <c r="H1257" s="209"/>
      <c r="I1257" s="209"/>
      <c r="J1257" s="209"/>
      <c r="K1257" s="209"/>
      <c r="L1257" s="209"/>
      <c r="M1257" s="207"/>
      <c r="N1257" s="209"/>
      <c r="O1257" s="209"/>
      <c r="P1257" s="209"/>
      <c r="Q1257" s="209"/>
      <c r="R1257" s="209"/>
      <c r="S1257" s="210"/>
    </row>
    <row r="1258" spans="1:19" s="14" customFormat="1" ht="57" x14ac:dyDescent="0.7">
      <c r="A1258" s="248"/>
      <c r="B1258" s="214"/>
      <c r="C1258" s="207"/>
      <c r="D1258" s="232"/>
      <c r="E1258" s="232"/>
      <c r="F1258" s="209"/>
      <c r="G1258" s="209"/>
      <c r="H1258" s="209"/>
      <c r="I1258" s="209"/>
      <c r="J1258" s="209"/>
      <c r="K1258" s="209"/>
      <c r="L1258" s="209"/>
      <c r="M1258" s="207"/>
      <c r="N1258" s="209"/>
      <c r="O1258" s="209"/>
      <c r="P1258" s="209"/>
      <c r="Q1258" s="209"/>
      <c r="R1258" s="209"/>
      <c r="S1258" s="210"/>
    </row>
    <row r="1259" spans="1:19" s="14" customFormat="1" ht="57" x14ac:dyDescent="0.7">
      <c r="A1259" s="248"/>
      <c r="B1259" s="214"/>
      <c r="C1259" s="207"/>
      <c r="D1259" s="232"/>
      <c r="E1259" s="232"/>
      <c r="F1259" s="209"/>
      <c r="G1259" s="209"/>
      <c r="H1259" s="209"/>
      <c r="I1259" s="209"/>
      <c r="J1259" s="209"/>
      <c r="K1259" s="209"/>
      <c r="L1259" s="209"/>
      <c r="M1259" s="207"/>
      <c r="N1259" s="209"/>
      <c r="O1259" s="209"/>
      <c r="P1259" s="209"/>
      <c r="Q1259" s="209"/>
      <c r="R1259" s="209"/>
      <c r="S1259" s="210"/>
    </row>
    <row r="1260" spans="1:19" s="14" customFormat="1" ht="57" x14ac:dyDescent="0.7">
      <c r="A1260" s="248"/>
      <c r="B1260" s="214"/>
      <c r="C1260" s="207"/>
      <c r="D1260" s="232"/>
      <c r="E1260" s="232"/>
      <c r="F1260" s="209"/>
      <c r="G1260" s="209"/>
      <c r="H1260" s="209"/>
      <c r="I1260" s="209"/>
      <c r="J1260" s="209"/>
      <c r="K1260" s="209"/>
      <c r="L1260" s="209"/>
      <c r="M1260" s="207"/>
      <c r="N1260" s="209"/>
      <c r="O1260" s="209"/>
      <c r="P1260" s="209"/>
      <c r="Q1260" s="209"/>
      <c r="R1260" s="209"/>
      <c r="S1260" s="210"/>
    </row>
    <row r="1261" spans="1:19" s="14" customFormat="1" ht="57" x14ac:dyDescent="0.7">
      <c r="A1261" s="248"/>
      <c r="B1261" s="214"/>
      <c r="C1261" s="207"/>
      <c r="D1261" s="232"/>
      <c r="E1261" s="232"/>
      <c r="F1261" s="209"/>
      <c r="G1261" s="209"/>
      <c r="H1261" s="209"/>
      <c r="I1261" s="209"/>
      <c r="J1261" s="209"/>
      <c r="K1261" s="209"/>
      <c r="L1261" s="209"/>
      <c r="M1261" s="207"/>
      <c r="N1261" s="209"/>
      <c r="O1261" s="209"/>
      <c r="P1261" s="209"/>
      <c r="Q1261" s="209"/>
      <c r="R1261" s="209"/>
      <c r="S1261" s="210"/>
    </row>
    <row r="1262" spans="1:19" s="14" customFormat="1" ht="57" x14ac:dyDescent="0.7">
      <c r="A1262" s="248"/>
      <c r="B1262" s="214"/>
      <c r="C1262" s="207"/>
      <c r="D1262" s="232"/>
      <c r="E1262" s="232"/>
      <c r="F1262" s="209"/>
      <c r="G1262" s="209"/>
      <c r="H1262" s="209"/>
      <c r="I1262" s="209"/>
      <c r="J1262" s="209"/>
      <c r="K1262" s="209"/>
      <c r="L1262" s="209"/>
      <c r="M1262" s="207"/>
      <c r="N1262" s="209"/>
      <c r="O1262" s="209"/>
      <c r="P1262" s="209"/>
      <c r="Q1262" s="209"/>
      <c r="R1262" s="209"/>
      <c r="S1262" s="210"/>
    </row>
    <row r="1263" spans="1:19" s="14" customFormat="1" ht="57" x14ac:dyDescent="0.7">
      <c r="A1263" s="248"/>
      <c r="B1263" s="214"/>
      <c r="C1263" s="207"/>
      <c r="D1263" s="232"/>
      <c r="E1263" s="232"/>
      <c r="F1263" s="209"/>
      <c r="G1263" s="209"/>
      <c r="H1263" s="209"/>
      <c r="I1263" s="209"/>
      <c r="J1263" s="209"/>
      <c r="K1263" s="209"/>
      <c r="L1263" s="209"/>
      <c r="M1263" s="207"/>
      <c r="N1263" s="209"/>
      <c r="O1263" s="209"/>
      <c r="P1263" s="209"/>
      <c r="Q1263" s="209"/>
      <c r="R1263" s="209"/>
      <c r="S1263" s="210"/>
    </row>
    <row r="1264" spans="1:19" s="14" customFormat="1" ht="57" x14ac:dyDescent="0.7">
      <c r="A1264" s="248"/>
      <c r="B1264" s="214"/>
      <c r="C1264" s="207"/>
      <c r="D1264" s="232"/>
      <c r="E1264" s="232"/>
      <c r="F1264" s="209"/>
      <c r="G1264" s="209"/>
      <c r="H1264" s="209"/>
      <c r="I1264" s="209"/>
      <c r="J1264" s="209"/>
      <c r="K1264" s="209"/>
      <c r="L1264" s="209"/>
      <c r="M1264" s="207"/>
      <c r="N1264" s="209"/>
      <c r="O1264" s="209"/>
      <c r="P1264" s="209"/>
      <c r="Q1264" s="209"/>
      <c r="R1264" s="209"/>
      <c r="S1264" s="210"/>
    </row>
    <row r="1265" spans="1:19" s="14" customFormat="1" ht="57" x14ac:dyDescent="0.7">
      <c r="A1265" s="248"/>
      <c r="B1265" s="214"/>
      <c r="C1265" s="207"/>
      <c r="D1265" s="232"/>
      <c r="E1265" s="232"/>
      <c r="F1265" s="209"/>
      <c r="G1265" s="209"/>
      <c r="H1265" s="209"/>
      <c r="I1265" s="209"/>
      <c r="J1265" s="209"/>
      <c r="K1265" s="209"/>
      <c r="L1265" s="209"/>
      <c r="M1265" s="207"/>
      <c r="N1265" s="209"/>
      <c r="O1265" s="209"/>
      <c r="P1265" s="209"/>
      <c r="Q1265" s="209"/>
      <c r="R1265" s="209"/>
      <c r="S1265" s="210"/>
    </row>
    <row r="1266" spans="1:19" s="14" customFormat="1" ht="57" x14ac:dyDescent="0.7">
      <c r="A1266" s="248"/>
      <c r="B1266" s="214"/>
      <c r="C1266" s="207"/>
      <c r="D1266" s="232"/>
      <c r="E1266" s="232"/>
      <c r="F1266" s="209"/>
      <c r="G1266" s="209"/>
      <c r="H1266" s="209"/>
      <c r="I1266" s="209"/>
      <c r="J1266" s="209"/>
      <c r="K1266" s="209"/>
      <c r="L1266" s="209"/>
      <c r="M1266" s="207"/>
      <c r="N1266" s="209"/>
      <c r="O1266" s="209"/>
      <c r="P1266" s="209"/>
      <c r="Q1266" s="209"/>
      <c r="R1266" s="209"/>
      <c r="S1266" s="210"/>
    </row>
    <row r="1267" spans="1:19" s="14" customFormat="1" ht="57" x14ac:dyDescent="0.7">
      <c r="A1267" s="248"/>
      <c r="B1267" s="214"/>
      <c r="C1267" s="207"/>
      <c r="D1267" s="232"/>
      <c r="E1267" s="232"/>
      <c r="F1267" s="209"/>
      <c r="G1267" s="209"/>
      <c r="H1267" s="209"/>
      <c r="I1267" s="209"/>
      <c r="J1267" s="209"/>
      <c r="K1267" s="209"/>
      <c r="L1267" s="209"/>
      <c r="M1267" s="207"/>
      <c r="N1267" s="209"/>
      <c r="O1267" s="209"/>
      <c r="P1267" s="209"/>
      <c r="Q1267" s="209"/>
      <c r="R1267" s="209"/>
      <c r="S1267" s="210"/>
    </row>
    <row r="1268" spans="1:19" s="14" customFormat="1" ht="57" x14ac:dyDescent="0.7">
      <c r="A1268" s="248"/>
      <c r="B1268" s="214"/>
      <c r="C1268" s="207"/>
      <c r="D1268" s="232"/>
      <c r="E1268" s="232"/>
      <c r="F1268" s="209"/>
      <c r="G1268" s="209"/>
      <c r="H1268" s="209"/>
      <c r="I1268" s="209"/>
      <c r="J1268" s="209"/>
      <c r="K1268" s="209"/>
      <c r="L1268" s="209"/>
      <c r="M1268" s="207"/>
      <c r="N1268" s="209"/>
      <c r="O1268" s="209"/>
      <c r="P1268" s="209"/>
      <c r="Q1268" s="209"/>
      <c r="R1268" s="209"/>
      <c r="S1268" s="210"/>
    </row>
    <row r="1269" spans="1:19" s="14" customFormat="1" ht="57" x14ac:dyDescent="0.7">
      <c r="A1269" s="248"/>
      <c r="B1269" s="214"/>
      <c r="C1269" s="207"/>
      <c r="D1269" s="232"/>
      <c r="E1269" s="232"/>
      <c r="F1269" s="209"/>
      <c r="G1269" s="209"/>
      <c r="H1269" s="209"/>
      <c r="I1269" s="209"/>
      <c r="J1269" s="209"/>
      <c r="K1269" s="209"/>
      <c r="L1269" s="209"/>
      <c r="M1269" s="207"/>
      <c r="N1269" s="209"/>
      <c r="O1269" s="209"/>
      <c r="P1269" s="209"/>
      <c r="Q1269" s="209"/>
      <c r="R1269" s="209"/>
      <c r="S1269" s="210"/>
    </row>
    <row r="1270" spans="1:19" s="14" customFormat="1" ht="57" x14ac:dyDescent="0.7">
      <c r="A1270" s="248"/>
      <c r="B1270" s="214"/>
      <c r="C1270" s="207"/>
      <c r="D1270" s="232"/>
      <c r="E1270" s="232"/>
      <c r="F1270" s="209"/>
      <c r="G1270" s="209"/>
      <c r="H1270" s="209"/>
      <c r="I1270" s="209"/>
      <c r="J1270" s="209"/>
      <c r="K1270" s="209"/>
      <c r="L1270" s="209"/>
      <c r="M1270" s="207"/>
      <c r="N1270" s="209"/>
      <c r="O1270" s="209"/>
      <c r="P1270" s="209"/>
      <c r="Q1270" s="209"/>
      <c r="R1270" s="209"/>
      <c r="S1270" s="210"/>
    </row>
    <row r="1271" spans="1:19" s="14" customFormat="1" ht="57" x14ac:dyDescent="0.7">
      <c r="A1271" s="248"/>
      <c r="B1271" s="214"/>
      <c r="C1271" s="207"/>
      <c r="D1271" s="232"/>
      <c r="E1271" s="232"/>
      <c r="F1271" s="209"/>
      <c r="G1271" s="209"/>
      <c r="H1271" s="209"/>
      <c r="I1271" s="209"/>
      <c r="J1271" s="209"/>
      <c r="K1271" s="209"/>
      <c r="L1271" s="209"/>
      <c r="M1271" s="207"/>
      <c r="N1271" s="209"/>
      <c r="O1271" s="209"/>
      <c r="P1271" s="209"/>
      <c r="Q1271" s="209"/>
      <c r="R1271" s="209"/>
      <c r="S1271" s="210"/>
    </row>
    <row r="1272" spans="1:19" s="14" customFormat="1" ht="57" x14ac:dyDescent="0.7">
      <c r="A1272" s="248"/>
      <c r="B1272" s="214"/>
      <c r="C1272" s="207"/>
      <c r="D1272" s="232"/>
      <c r="E1272" s="232"/>
      <c r="F1272" s="209"/>
      <c r="G1272" s="209"/>
      <c r="H1272" s="209"/>
      <c r="I1272" s="209"/>
      <c r="J1272" s="209"/>
      <c r="K1272" s="209"/>
      <c r="L1272" s="209"/>
      <c r="M1272" s="207"/>
      <c r="N1272" s="209"/>
      <c r="O1272" s="209"/>
      <c r="P1272" s="209"/>
      <c r="Q1272" s="209"/>
      <c r="R1272" s="209"/>
      <c r="S1272" s="210"/>
    </row>
    <row r="1273" spans="1:19" s="14" customFormat="1" ht="57" x14ac:dyDescent="0.7">
      <c r="A1273" s="248"/>
      <c r="B1273" s="214"/>
      <c r="C1273" s="207"/>
      <c r="D1273" s="232"/>
      <c r="E1273" s="232"/>
      <c r="F1273" s="209"/>
      <c r="G1273" s="209"/>
      <c r="H1273" s="209"/>
      <c r="I1273" s="209"/>
      <c r="J1273" s="209"/>
      <c r="K1273" s="209"/>
      <c r="L1273" s="209"/>
      <c r="M1273" s="207"/>
      <c r="N1273" s="209"/>
      <c r="O1273" s="209"/>
      <c r="P1273" s="209"/>
      <c r="Q1273" s="209"/>
      <c r="R1273" s="209"/>
      <c r="S1273" s="210"/>
    </row>
    <row r="1274" spans="1:19" s="14" customFormat="1" ht="57" x14ac:dyDescent="0.7">
      <c r="A1274" s="248"/>
      <c r="B1274" s="214"/>
      <c r="C1274" s="207"/>
      <c r="D1274" s="232"/>
      <c r="E1274" s="232"/>
      <c r="F1274" s="209"/>
      <c r="G1274" s="209"/>
      <c r="H1274" s="209"/>
      <c r="I1274" s="209"/>
      <c r="J1274" s="209"/>
      <c r="K1274" s="209"/>
      <c r="L1274" s="209"/>
      <c r="M1274" s="207"/>
      <c r="N1274" s="209"/>
      <c r="O1274" s="209"/>
      <c r="P1274" s="209"/>
      <c r="Q1274" s="209"/>
      <c r="R1274" s="209"/>
      <c r="S1274" s="210"/>
    </row>
    <row r="1275" spans="1:19" s="14" customFormat="1" ht="57" x14ac:dyDescent="0.7">
      <c r="A1275" s="248"/>
      <c r="B1275" s="214"/>
      <c r="C1275" s="207"/>
      <c r="D1275" s="232"/>
      <c r="E1275" s="232"/>
      <c r="F1275" s="209"/>
      <c r="G1275" s="209"/>
      <c r="H1275" s="209"/>
      <c r="I1275" s="209"/>
      <c r="J1275" s="209"/>
      <c r="K1275" s="209"/>
      <c r="L1275" s="209"/>
      <c r="M1275" s="207"/>
      <c r="N1275" s="209"/>
      <c r="O1275" s="209"/>
      <c r="P1275" s="209"/>
      <c r="Q1275" s="209"/>
      <c r="R1275" s="209"/>
      <c r="S1275" s="210"/>
    </row>
    <row r="1276" spans="1:19" s="14" customFormat="1" ht="57" x14ac:dyDescent="0.7">
      <c r="A1276" s="248"/>
      <c r="B1276" s="214"/>
      <c r="C1276" s="207"/>
      <c r="D1276" s="232"/>
      <c r="E1276" s="232"/>
      <c r="F1276" s="209"/>
      <c r="G1276" s="209"/>
      <c r="H1276" s="209"/>
      <c r="I1276" s="209"/>
      <c r="J1276" s="209"/>
      <c r="K1276" s="209"/>
      <c r="L1276" s="209"/>
      <c r="M1276" s="207"/>
      <c r="N1276" s="209"/>
      <c r="O1276" s="209"/>
      <c r="P1276" s="209"/>
      <c r="Q1276" s="209"/>
      <c r="R1276" s="209"/>
      <c r="S1276" s="210"/>
    </row>
    <row r="1277" spans="1:19" s="14" customFormat="1" ht="57" x14ac:dyDescent="0.7">
      <c r="A1277" s="248"/>
      <c r="B1277" s="214"/>
      <c r="C1277" s="207"/>
      <c r="D1277" s="232"/>
      <c r="E1277" s="232"/>
      <c r="F1277" s="209"/>
      <c r="G1277" s="209"/>
      <c r="H1277" s="209"/>
      <c r="I1277" s="209"/>
      <c r="J1277" s="209"/>
      <c r="K1277" s="209"/>
      <c r="L1277" s="209"/>
      <c r="M1277" s="207"/>
      <c r="N1277" s="209"/>
      <c r="O1277" s="209"/>
      <c r="P1277" s="209"/>
      <c r="Q1277" s="209"/>
      <c r="R1277" s="209"/>
      <c r="S1277" s="210"/>
    </row>
    <row r="1278" spans="1:19" s="14" customFormat="1" ht="57" x14ac:dyDescent="0.7">
      <c r="A1278" s="248"/>
      <c r="B1278" s="214"/>
      <c r="C1278" s="207"/>
      <c r="D1278" s="232"/>
      <c r="E1278" s="232"/>
      <c r="F1278" s="209"/>
      <c r="G1278" s="209"/>
      <c r="H1278" s="209"/>
      <c r="I1278" s="209"/>
      <c r="J1278" s="209"/>
      <c r="K1278" s="209"/>
      <c r="L1278" s="209"/>
      <c r="M1278" s="207"/>
      <c r="N1278" s="209"/>
      <c r="O1278" s="209"/>
      <c r="P1278" s="209"/>
      <c r="Q1278" s="209"/>
      <c r="R1278" s="209"/>
      <c r="S1278" s="210"/>
    </row>
    <row r="1279" spans="1:19" s="14" customFormat="1" ht="57" x14ac:dyDescent="0.7">
      <c r="A1279" s="248"/>
      <c r="B1279" s="214"/>
      <c r="C1279" s="207"/>
      <c r="D1279" s="232"/>
      <c r="E1279" s="232"/>
      <c r="F1279" s="209"/>
      <c r="G1279" s="209"/>
      <c r="H1279" s="209"/>
      <c r="I1279" s="209"/>
      <c r="J1279" s="209"/>
      <c r="K1279" s="209"/>
      <c r="L1279" s="209"/>
      <c r="M1279" s="207"/>
      <c r="N1279" s="209"/>
      <c r="O1279" s="209"/>
      <c r="P1279" s="209"/>
      <c r="Q1279" s="209"/>
      <c r="R1279" s="209"/>
      <c r="S1279" s="210"/>
    </row>
    <row r="1280" spans="1:19" s="14" customFormat="1" ht="57" x14ac:dyDescent="0.7">
      <c r="A1280" s="248"/>
      <c r="B1280" s="214"/>
      <c r="C1280" s="207"/>
      <c r="D1280" s="232"/>
      <c r="E1280" s="232"/>
      <c r="F1280" s="209"/>
      <c r="G1280" s="209"/>
      <c r="H1280" s="209"/>
      <c r="I1280" s="209"/>
      <c r="J1280" s="209"/>
      <c r="K1280" s="209"/>
      <c r="L1280" s="209"/>
      <c r="M1280" s="207"/>
      <c r="N1280" s="209"/>
      <c r="O1280" s="209"/>
      <c r="P1280" s="209"/>
      <c r="Q1280" s="209"/>
      <c r="R1280" s="209"/>
      <c r="S1280" s="210"/>
    </row>
    <row r="1281" spans="1:19" s="14" customFormat="1" ht="57" x14ac:dyDescent="0.7">
      <c r="A1281" s="248"/>
      <c r="B1281" s="214"/>
      <c r="C1281" s="207"/>
      <c r="D1281" s="232"/>
      <c r="E1281" s="232"/>
      <c r="F1281" s="209"/>
      <c r="G1281" s="209"/>
      <c r="H1281" s="209"/>
      <c r="I1281" s="209"/>
      <c r="J1281" s="209"/>
      <c r="K1281" s="209"/>
      <c r="L1281" s="209"/>
      <c r="M1281" s="207"/>
      <c r="N1281" s="209"/>
      <c r="O1281" s="209"/>
      <c r="P1281" s="209"/>
      <c r="Q1281" s="209"/>
      <c r="R1281" s="209"/>
      <c r="S1281" s="210"/>
    </row>
    <row r="1282" spans="1:19" s="14" customFormat="1" ht="57" x14ac:dyDescent="0.7">
      <c r="A1282" s="248"/>
      <c r="B1282" s="214"/>
      <c r="C1282" s="207"/>
      <c r="D1282" s="232"/>
      <c r="E1282" s="232"/>
      <c r="F1282" s="209"/>
      <c r="G1282" s="209"/>
      <c r="H1282" s="209"/>
      <c r="I1282" s="209"/>
      <c r="J1282" s="209"/>
      <c r="K1282" s="209"/>
      <c r="L1282" s="209"/>
      <c r="M1282" s="207"/>
      <c r="N1282" s="209"/>
      <c r="O1282" s="209"/>
      <c r="P1282" s="209"/>
      <c r="Q1282" s="209"/>
      <c r="R1282" s="209"/>
      <c r="S1282" s="210"/>
    </row>
    <row r="1283" spans="1:19" s="14" customFormat="1" ht="57" x14ac:dyDescent="0.7">
      <c r="A1283" s="248"/>
      <c r="B1283" s="214"/>
      <c r="C1283" s="207"/>
      <c r="D1283" s="232"/>
      <c r="E1283" s="232"/>
      <c r="F1283" s="209"/>
      <c r="G1283" s="209"/>
      <c r="H1283" s="209"/>
      <c r="I1283" s="209"/>
      <c r="J1283" s="209"/>
      <c r="K1283" s="209"/>
      <c r="L1283" s="209"/>
      <c r="M1283" s="207"/>
      <c r="N1283" s="209"/>
      <c r="O1283" s="209"/>
      <c r="P1283" s="209"/>
      <c r="Q1283" s="209"/>
      <c r="R1283" s="209"/>
      <c r="S1283" s="210"/>
    </row>
    <row r="1284" spans="1:19" s="14" customFormat="1" ht="57" x14ac:dyDescent="0.7">
      <c r="A1284" s="248"/>
      <c r="B1284" s="214"/>
      <c r="C1284" s="207"/>
      <c r="D1284" s="232"/>
      <c r="E1284" s="232"/>
      <c r="F1284" s="209"/>
      <c r="G1284" s="209"/>
      <c r="H1284" s="209"/>
      <c r="I1284" s="209"/>
      <c r="J1284" s="209"/>
      <c r="K1284" s="209"/>
      <c r="L1284" s="209"/>
      <c r="M1284" s="207"/>
      <c r="N1284" s="209"/>
      <c r="O1284" s="209"/>
      <c r="P1284" s="209"/>
      <c r="Q1284" s="209"/>
      <c r="R1284" s="209"/>
      <c r="S1284" s="210"/>
    </row>
    <row r="1285" spans="1:19" s="14" customFormat="1" ht="57" x14ac:dyDescent="0.7">
      <c r="A1285" s="248"/>
      <c r="B1285" s="214"/>
      <c r="C1285" s="207"/>
      <c r="D1285" s="232"/>
      <c r="E1285" s="232"/>
      <c r="F1285" s="209"/>
      <c r="G1285" s="209"/>
      <c r="H1285" s="209"/>
      <c r="I1285" s="209"/>
      <c r="J1285" s="209"/>
      <c r="K1285" s="209"/>
      <c r="L1285" s="209"/>
      <c r="M1285" s="207"/>
      <c r="N1285" s="209"/>
      <c r="O1285" s="209"/>
      <c r="P1285" s="209"/>
      <c r="Q1285" s="209"/>
      <c r="R1285" s="209"/>
      <c r="S1285" s="210"/>
    </row>
    <row r="1286" spans="1:19" s="14" customFormat="1" ht="57" x14ac:dyDescent="0.7">
      <c r="A1286" s="248"/>
      <c r="B1286" s="214"/>
      <c r="C1286" s="207"/>
      <c r="D1286" s="232"/>
      <c r="E1286" s="232"/>
      <c r="F1286" s="209"/>
      <c r="G1286" s="209"/>
      <c r="H1286" s="209"/>
      <c r="I1286" s="209"/>
      <c r="J1286" s="209"/>
      <c r="K1286" s="209"/>
      <c r="L1286" s="209"/>
      <c r="M1286" s="207"/>
      <c r="N1286" s="209"/>
      <c r="O1286" s="209"/>
      <c r="P1286" s="209"/>
      <c r="Q1286" s="209"/>
      <c r="R1286" s="209"/>
      <c r="S1286" s="210"/>
    </row>
    <row r="1287" spans="1:19" s="14" customFormat="1" ht="57" x14ac:dyDescent="0.7">
      <c r="A1287" s="248"/>
      <c r="B1287" s="214"/>
      <c r="C1287" s="207"/>
      <c r="D1287" s="232"/>
      <c r="E1287" s="232"/>
      <c r="F1287" s="209"/>
      <c r="G1287" s="209"/>
      <c r="H1287" s="209"/>
      <c r="I1287" s="209"/>
      <c r="J1287" s="209"/>
      <c r="K1287" s="209"/>
      <c r="L1287" s="209"/>
      <c r="M1287" s="207"/>
      <c r="N1287" s="209"/>
      <c r="O1287" s="209"/>
      <c r="P1287" s="209"/>
      <c r="Q1287" s="209"/>
      <c r="R1287" s="209"/>
      <c r="S1287" s="210"/>
    </row>
    <row r="1288" spans="1:19" s="14" customFormat="1" ht="57" x14ac:dyDescent="0.7">
      <c r="A1288" s="248"/>
      <c r="B1288" s="214"/>
      <c r="C1288" s="207"/>
      <c r="D1288" s="232"/>
      <c r="E1288" s="232"/>
      <c r="F1288" s="209"/>
      <c r="G1288" s="209"/>
      <c r="H1288" s="209"/>
      <c r="I1288" s="209"/>
      <c r="J1288" s="209"/>
      <c r="K1288" s="209"/>
      <c r="L1288" s="209"/>
      <c r="M1288" s="207"/>
      <c r="N1288" s="209"/>
      <c r="O1288" s="209"/>
      <c r="P1288" s="209"/>
      <c r="Q1288" s="209"/>
      <c r="R1288" s="209"/>
      <c r="S1288" s="210"/>
    </row>
    <row r="1289" spans="1:19" s="14" customFormat="1" ht="57" x14ac:dyDescent="0.7">
      <c r="A1289" s="248"/>
      <c r="B1289" s="214"/>
      <c r="C1289" s="207"/>
      <c r="D1289" s="232"/>
      <c r="E1289" s="232"/>
      <c r="F1289" s="209"/>
      <c r="G1289" s="209"/>
      <c r="H1289" s="209"/>
      <c r="I1289" s="209"/>
      <c r="J1289" s="209"/>
      <c r="K1289" s="209"/>
      <c r="L1289" s="209"/>
      <c r="M1289" s="207"/>
      <c r="N1289" s="209"/>
      <c r="O1289" s="209"/>
      <c r="P1289" s="209"/>
      <c r="Q1289" s="209"/>
      <c r="R1289" s="209"/>
      <c r="S1289" s="210"/>
    </row>
    <row r="1290" spans="1:19" s="14" customFormat="1" ht="57" x14ac:dyDescent="0.7">
      <c r="A1290" s="248"/>
      <c r="B1290" s="214"/>
      <c r="C1290" s="207"/>
      <c r="D1290" s="232"/>
      <c r="E1290" s="232"/>
      <c r="F1290" s="209"/>
      <c r="G1290" s="209"/>
      <c r="H1290" s="209"/>
      <c r="I1290" s="209"/>
      <c r="J1290" s="209"/>
      <c r="K1290" s="209"/>
      <c r="L1290" s="209"/>
      <c r="M1290" s="207"/>
      <c r="N1290" s="209"/>
      <c r="O1290" s="209"/>
      <c r="P1290" s="209"/>
      <c r="Q1290" s="209"/>
      <c r="R1290" s="209"/>
      <c r="S1290" s="210"/>
    </row>
    <row r="1291" spans="1:19" s="14" customFormat="1" ht="57" x14ac:dyDescent="0.7">
      <c r="A1291" s="248"/>
      <c r="B1291" s="214"/>
      <c r="C1291" s="207"/>
      <c r="D1291" s="232"/>
      <c r="E1291" s="232"/>
      <c r="F1291" s="209"/>
      <c r="G1291" s="209"/>
      <c r="H1291" s="209"/>
      <c r="I1291" s="209"/>
      <c r="J1291" s="209"/>
      <c r="K1291" s="209"/>
      <c r="L1291" s="209"/>
      <c r="M1291" s="207"/>
      <c r="N1291" s="209"/>
      <c r="O1291" s="209"/>
      <c r="P1291" s="209"/>
      <c r="Q1291" s="209"/>
      <c r="R1291" s="209"/>
      <c r="S1291" s="210"/>
    </row>
    <row r="1292" spans="1:19" s="14" customFormat="1" ht="57" x14ac:dyDescent="0.7">
      <c r="A1292" s="248"/>
      <c r="B1292" s="214"/>
      <c r="C1292" s="207"/>
      <c r="D1292" s="232"/>
      <c r="E1292" s="232"/>
      <c r="F1292" s="209"/>
      <c r="G1292" s="209"/>
      <c r="H1292" s="209"/>
      <c r="I1292" s="209"/>
      <c r="J1292" s="209"/>
      <c r="K1292" s="209"/>
      <c r="L1292" s="209"/>
      <c r="M1292" s="207"/>
      <c r="N1292" s="209"/>
      <c r="O1292" s="209"/>
      <c r="P1292" s="209"/>
      <c r="Q1292" s="209"/>
      <c r="R1292" s="209"/>
      <c r="S1292" s="210"/>
    </row>
    <row r="1293" spans="1:19" s="14" customFormat="1" ht="57" x14ac:dyDescent="0.7">
      <c r="A1293" s="248"/>
      <c r="B1293" s="214"/>
      <c r="C1293" s="207"/>
      <c r="D1293" s="232"/>
      <c r="E1293" s="232"/>
      <c r="F1293" s="209"/>
      <c r="G1293" s="209"/>
      <c r="H1293" s="209"/>
      <c r="I1293" s="209"/>
      <c r="J1293" s="209"/>
      <c r="K1293" s="209"/>
      <c r="L1293" s="209"/>
      <c r="M1293" s="207"/>
      <c r="N1293" s="209"/>
      <c r="O1293" s="209"/>
      <c r="P1293" s="209"/>
      <c r="Q1293" s="209"/>
      <c r="R1293" s="209"/>
      <c r="S1293" s="210"/>
    </row>
    <row r="1294" spans="1:19" s="14" customFormat="1" ht="57" x14ac:dyDescent="0.7">
      <c r="A1294" s="248"/>
      <c r="B1294" s="214"/>
      <c r="C1294" s="207"/>
      <c r="D1294" s="232"/>
      <c r="E1294" s="232"/>
      <c r="F1294" s="209"/>
      <c r="G1294" s="209"/>
      <c r="H1294" s="209"/>
      <c r="I1294" s="209"/>
      <c r="J1294" s="209"/>
      <c r="K1294" s="209"/>
      <c r="L1294" s="209"/>
      <c r="M1294" s="207"/>
      <c r="N1294" s="209"/>
      <c r="O1294" s="209"/>
      <c r="P1294" s="209"/>
      <c r="Q1294" s="209"/>
      <c r="R1294" s="209"/>
      <c r="S1294" s="210"/>
    </row>
    <row r="1295" spans="1:19" s="14" customFormat="1" ht="57" x14ac:dyDescent="0.7">
      <c r="A1295" s="248"/>
      <c r="B1295" s="214"/>
      <c r="C1295" s="207"/>
      <c r="D1295" s="232"/>
      <c r="E1295" s="232"/>
      <c r="F1295" s="209"/>
      <c r="G1295" s="209"/>
      <c r="H1295" s="209"/>
      <c r="I1295" s="209"/>
      <c r="J1295" s="209"/>
      <c r="K1295" s="209"/>
      <c r="L1295" s="209"/>
      <c r="M1295" s="207"/>
      <c r="N1295" s="209"/>
      <c r="O1295" s="209"/>
      <c r="P1295" s="209"/>
      <c r="Q1295" s="209"/>
      <c r="R1295" s="209"/>
      <c r="S1295" s="210"/>
    </row>
    <row r="1296" spans="1:19" s="14" customFormat="1" ht="57" x14ac:dyDescent="0.7">
      <c r="A1296" s="248"/>
      <c r="B1296" s="214"/>
      <c r="C1296" s="207"/>
      <c r="D1296" s="232"/>
      <c r="E1296" s="232"/>
      <c r="F1296" s="209"/>
      <c r="G1296" s="209"/>
      <c r="H1296" s="209"/>
      <c r="I1296" s="209"/>
      <c r="J1296" s="209"/>
      <c r="K1296" s="209"/>
      <c r="L1296" s="209"/>
      <c r="M1296" s="207"/>
      <c r="N1296" s="209"/>
      <c r="O1296" s="209"/>
      <c r="P1296" s="209"/>
      <c r="Q1296" s="209"/>
      <c r="R1296" s="209"/>
      <c r="S1296" s="210"/>
    </row>
    <row r="1297" spans="1:19" s="14" customFormat="1" ht="57" x14ac:dyDescent="0.7">
      <c r="A1297" s="248"/>
      <c r="B1297" s="214"/>
      <c r="C1297" s="207"/>
      <c r="D1297" s="232"/>
      <c r="E1297" s="232"/>
      <c r="F1297" s="209"/>
      <c r="G1297" s="209"/>
      <c r="H1297" s="209"/>
      <c r="I1297" s="209"/>
      <c r="J1297" s="209"/>
      <c r="K1297" s="209"/>
      <c r="L1297" s="209"/>
      <c r="M1297" s="207"/>
      <c r="N1297" s="209"/>
      <c r="O1297" s="209"/>
      <c r="P1297" s="209"/>
      <c r="Q1297" s="209"/>
      <c r="R1297" s="209"/>
      <c r="S1297" s="210"/>
    </row>
    <row r="1298" spans="1:19" s="14" customFormat="1" ht="57" x14ac:dyDescent="0.7">
      <c r="A1298" s="248"/>
      <c r="B1298" s="214"/>
      <c r="C1298" s="207"/>
      <c r="D1298" s="232"/>
      <c r="E1298" s="232"/>
      <c r="F1298" s="209"/>
      <c r="G1298" s="209"/>
      <c r="H1298" s="209"/>
      <c r="I1298" s="209"/>
      <c r="J1298" s="209"/>
      <c r="K1298" s="209"/>
      <c r="L1298" s="209"/>
      <c r="M1298" s="207"/>
      <c r="N1298" s="209"/>
      <c r="O1298" s="209"/>
      <c r="P1298" s="209"/>
      <c r="Q1298" s="209"/>
      <c r="R1298" s="209"/>
      <c r="S1298" s="210"/>
    </row>
    <row r="1299" spans="1:19" s="14" customFormat="1" ht="57" x14ac:dyDescent="0.7">
      <c r="A1299" s="248"/>
      <c r="B1299" s="214"/>
      <c r="C1299" s="207"/>
      <c r="D1299" s="232"/>
      <c r="E1299" s="232"/>
      <c r="F1299" s="209"/>
      <c r="G1299" s="209"/>
      <c r="H1299" s="209"/>
      <c r="I1299" s="209"/>
      <c r="J1299" s="209"/>
      <c r="K1299" s="209"/>
      <c r="L1299" s="209"/>
      <c r="M1299" s="207"/>
      <c r="N1299" s="209"/>
      <c r="O1299" s="209"/>
      <c r="P1299" s="209"/>
      <c r="Q1299" s="209"/>
      <c r="R1299" s="209"/>
      <c r="S1299" s="210"/>
    </row>
    <row r="1300" spans="1:19" s="14" customFormat="1" ht="57" x14ac:dyDescent="0.7">
      <c r="A1300" s="248"/>
      <c r="B1300" s="214"/>
      <c r="C1300" s="207"/>
      <c r="D1300" s="232"/>
      <c r="E1300" s="232"/>
      <c r="F1300" s="209"/>
      <c r="G1300" s="209"/>
      <c r="H1300" s="209"/>
      <c r="I1300" s="209"/>
      <c r="J1300" s="209"/>
      <c r="K1300" s="209"/>
      <c r="L1300" s="209"/>
      <c r="M1300" s="207"/>
      <c r="N1300" s="209"/>
      <c r="O1300" s="209"/>
      <c r="P1300" s="209"/>
      <c r="Q1300" s="209"/>
      <c r="R1300" s="209"/>
      <c r="S1300" s="210"/>
    </row>
    <row r="1301" spans="1:19" s="14" customFormat="1" ht="57" x14ac:dyDescent="0.7">
      <c r="A1301" s="248"/>
      <c r="B1301" s="214"/>
      <c r="C1301" s="207"/>
      <c r="D1301" s="232"/>
      <c r="E1301" s="232"/>
      <c r="F1301" s="209"/>
      <c r="G1301" s="209"/>
      <c r="H1301" s="209"/>
      <c r="I1301" s="209"/>
      <c r="J1301" s="209"/>
      <c r="K1301" s="209"/>
      <c r="L1301" s="209"/>
      <c r="M1301" s="207"/>
      <c r="N1301" s="209"/>
      <c r="O1301" s="209"/>
      <c r="P1301" s="209"/>
      <c r="Q1301" s="209"/>
      <c r="R1301" s="209"/>
      <c r="S1301" s="210"/>
    </row>
    <row r="1302" spans="1:19" s="14" customFormat="1" ht="57" x14ac:dyDescent="0.7">
      <c r="A1302" s="248"/>
      <c r="B1302" s="214"/>
      <c r="C1302" s="207"/>
      <c r="D1302" s="232"/>
      <c r="E1302" s="232"/>
      <c r="F1302" s="209"/>
      <c r="G1302" s="209"/>
      <c r="H1302" s="209"/>
      <c r="I1302" s="209"/>
      <c r="J1302" s="209"/>
      <c r="K1302" s="209"/>
      <c r="L1302" s="209"/>
      <c r="M1302" s="207"/>
      <c r="N1302" s="209"/>
      <c r="O1302" s="209"/>
      <c r="P1302" s="209"/>
      <c r="Q1302" s="209"/>
      <c r="R1302" s="209"/>
      <c r="S1302" s="210"/>
    </row>
    <row r="1303" spans="1:19" s="14" customFormat="1" ht="57" x14ac:dyDescent="0.7">
      <c r="A1303" s="248"/>
      <c r="B1303" s="214"/>
      <c r="C1303" s="207"/>
      <c r="D1303" s="232"/>
      <c r="E1303" s="232"/>
      <c r="F1303" s="209"/>
      <c r="G1303" s="209"/>
      <c r="H1303" s="209"/>
      <c r="I1303" s="209"/>
      <c r="J1303" s="209"/>
      <c r="K1303" s="209"/>
      <c r="L1303" s="209"/>
      <c r="M1303" s="207"/>
      <c r="N1303" s="209"/>
      <c r="O1303" s="209"/>
      <c r="P1303" s="209"/>
      <c r="Q1303" s="209"/>
      <c r="R1303" s="209"/>
      <c r="S1303" s="210"/>
    </row>
    <row r="1304" spans="1:19" s="14" customFormat="1" ht="57" x14ac:dyDescent="0.7">
      <c r="A1304" s="248"/>
      <c r="B1304" s="214"/>
      <c r="C1304" s="207"/>
      <c r="D1304" s="232"/>
      <c r="E1304" s="232"/>
      <c r="F1304" s="209"/>
      <c r="G1304" s="209"/>
      <c r="H1304" s="209"/>
      <c r="I1304" s="209"/>
      <c r="J1304" s="209"/>
      <c r="K1304" s="209"/>
      <c r="L1304" s="209"/>
      <c r="M1304" s="207"/>
      <c r="N1304" s="209"/>
      <c r="O1304" s="209"/>
      <c r="P1304" s="209"/>
      <c r="Q1304" s="209"/>
      <c r="R1304" s="209"/>
      <c r="S1304" s="210"/>
    </row>
    <row r="1305" spans="1:19" s="14" customFormat="1" ht="57" x14ac:dyDescent="0.7">
      <c r="A1305" s="248"/>
      <c r="B1305" s="214"/>
      <c r="C1305" s="207"/>
      <c r="D1305" s="232"/>
      <c r="E1305" s="232"/>
      <c r="F1305" s="209"/>
      <c r="G1305" s="209"/>
      <c r="H1305" s="209"/>
      <c r="I1305" s="209"/>
      <c r="J1305" s="209"/>
      <c r="K1305" s="209"/>
      <c r="L1305" s="209"/>
      <c r="M1305" s="207"/>
      <c r="N1305" s="209"/>
      <c r="O1305" s="209"/>
      <c r="P1305" s="209"/>
      <c r="Q1305" s="209"/>
      <c r="R1305" s="209"/>
      <c r="S1305" s="210"/>
    </row>
    <row r="1306" spans="1:19" s="14" customFormat="1" ht="57" x14ac:dyDescent="0.7">
      <c r="A1306" s="248"/>
      <c r="B1306" s="214"/>
      <c r="C1306" s="207"/>
      <c r="D1306" s="232"/>
      <c r="E1306" s="232"/>
      <c r="F1306" s="209"/>
      <c r="G1306" s="209"/>
      <c r="H1306" s="209"/>
      <c r="I1306" s="209"/>
      <c r="J1306" s="209"/>
      <c r="K1306" s="209"/>
      <c r="L1306" s="209"/>
      <c r="M1306" s="207"/>
      <c r="N1306" s="209"/>
      <c r="O1306" s="209"/>
      <c r="P1306" s="209"/>
      <c r="Q1306" s="209"/>
      <c r="R1306" s="209"/>
      <c r="S1306" s="210"/>
    </row>
    <row r="1307" spans="1:19" s="14" customFormat="1" ht="57" x14ac:dyDescent="0.7">
      <c r="A1307" s="248"/>
      <c r="B1307" s="214"/>
      <c r="C1307" s="207"/>
      <c r="D1307" s="232"/>
      <c r="E1307" s="232"/>
      <c r="F1307" s="209"/>
      <c r="G1307" s="209"/>
      <c r="H1307" s="209"/>
      <c r="I1307" s="209"/>
      <c r="J1307" s="209"/>
      <c r="K1307" s="209"/>
      <c r="L1307" s="209"/>
      <c r="M1307" s="207"/>
      <c r="N1307" s="209"/>
      <c r="O1307" s="209"/>
      <c r="P1307" s="209"/>
      <c r="Q1307" s="209"/>
      <c r="R1307" s="209"/>
      <c r="S1307" s="210"/>
    </row>
    <row r="1308" spans="1:19" s="14" customFormat="1" ht="57" x14ac:dyDescent="0.7">
      <c r="A1308" s="248"/>
      <c r="B1308" s="214"/>
      <c r="C1308" s="207"/>
      <c r="D1308" s="232"/>
      <c r="E1308" s="232"/>
      <c r="F1308" s="209"/>
      <c r="G1308" s="209"/>
      <c r="H1308" s="209"/>
      <c r="I1308" s="209"/>
      <c r="J1308" s="209"/>
      <c r="K1308" s="209"/>
      <c r="L1308" s="209"/>
      <c r="M1308" s="207"/>
      <c r="N1308" s="209"/>
      <c r="O1308" s="209"/>
      <c r="P1308" s="209"/>
      <c r="Q1308" s="209"/>
      <c r="R1308" s="209"/>
      <c r="S1308" s="210"/>
    </row>
    <row r="1309" spans="1:19" s="14" customFormat="1" ht="57" x14ac:dyDescent="0.7">
      <c r="A1309" s="248"/>
      <c r="B1309" s="214"/>
      <c r="C1309" s="207"/>
      <c r="D1309" s="232"/>
      <c r="E1309" s="232"/>
      <c r="F1309" s="209"/>
      <c r="G1309" s="209"/>
      <c r="H1309" s="209"/>
      <c r="I1309" s="209"/>
      <c r="J1309" s="209"/>
      <c r="K1309" s="209"/>
      <c r="L1309" s="209"/>
      <c r="M1309" s="207"/>
      <c r="N1309" s="209"/>
      <c r="O1309" s="209"/>
      <c r="P1309" s="209"/>
      <c r="Q1309" s="209"/>
      <c r="R1309" s="209"/>
      <c r="S1309" s="210"/>
    </row>
    <row r="1310" spans="1:19" s="14" customFormat="1" ht="57" x14ac:dyDescent="0.7">
      <c r="A1310" s="248"/>
      <c r="B1310" s="214"/>
      <c r="C1310" s="207"/>
      <c r="D1310" s="232"/>
      <c r="E1310" s="232"/>
      <c r="F1310" s="209"/>
      <c r="G1310" s="209"/>
      <c r="H1310" s="209"/>
      <c r="I1310" s="209"/>
      <c r="J1310" s="209"/>
      <c r="K1310" s="209"/>
      <c r="L1310" s="209"/>
      <c r="M1310" s="207"/>
      <c r="N1310" s="209"/>
      <c r="O1310" s="209"/>
      <c r="P1310" s="209"/>
      <c r="Q1310" s="209"/>
      <c r="R1310" s="209"/>
      <c r="S1310" s="210"/>
    </row>
    <row r="1311" spans="1:19" s="14" customFormat="1" ht="57" x14ac:dyDescent="0.7">
      <c r="A1311" s="248"/>
      <c r="B1311" s="214"/>
      <c r="C1311" s="207"/>
      <c r="D1311" s="232"/>
      <c r="E1311" s="232"/>
      <c r="F1311" s="209"/>
      <c r="G1311" s="209"/>
      <c r="H1311" s="209"/>
      <c r="I1311" s="209"/>
      <c r="J1311" s="209"/>
      <c r="K1311" s="209"/>
      <c r="L1311" s="209"/>
      <c r="M1311" s="207"/>
      <c r="N1311" s="209"/>
      <c r="O1311" s="209"/>
      <c r="P1311" s="209"/>
      <c r="Q1311" s="209"/>
      <c r="R1311" s="209"/>
      <c r="S1311" s="210"/>
    </row>
    <row r="1312" spans="1:19" s="14" customFormat="1" ht="57" x14ac:dyDescent="0.7">
      <c r="A1312" s="248"/>
      <c r="B1312" s="214"/>
      <c r="C1312" s="207"/>
      <c r="D1312" s="232"/>
      <c r="E1312" s="232"/>
      <c r="F1312" s="209"/>
      <c r="G1312" s="209"/>
      <c r="H1312" s="209"/>
      <c r="I1312" s="209"/>
      <c r="J1312" s="209"/>
      <c r="K1312" s="209"/>
      <c r="L1312" s="209"/>
      <c r="M1312" s="207"/>
      <c r="N1312" s="209"/>
      <c r="O1312" s="209"/>
      <c r="P1312" s="209"/>
      <c r="Q1312" s="209"/>
      <c r="R1312" s="209"/>
      <c r="S1312" s="210"/>
    </row>
    <row r="1313" spans="1:19" s="14" customFormat="1" ht="57" x14ac:dyDescent="0.7">
      <c r="A1313" s="248"/>
      <c r="B1313" s="214"/>
      <c r="C1313" s="207"/>
      <c r="D1313" s="232"/>
      <c r="E1313" s="232"/>
      <c r="F1313" s="209"/>
      <c r="G1313" s="209"/>
      <c r="H1313" s="209"/>
      <c r="I1313" s="209"/>
      <c r="J1313" s="209"/>
      <c r="K1313" s="209"/>
      <c r="L1313" s="209"/>
      <c r="M1313" s="207"/>
      <c r="N1313" s="209"/>
      <c r="O1313" s="209"/>
      <c r="P1313" s="209"/>
      <c r="Q1313" s="209"/>
      <c r="R1313" s="209"/>
      <c r="S1313" s="210"/>
    </row>
    <row r="1314" spans="1:19" s="14" customFormat="1" ht="57" x14ac:dyDescent="0.7">
      <c r="A1314" s="248"/>
      <c r="B1314" s="214"/>
      <c r="C1314" s="207"/>
      <c r="D1314" s="232"/>
      <c r="E1314" s="232"/>
      <c r="F1314" s="209"/>
      <c r="G1314" s="209"/>
      <c r="H1314" s="209"/>
      <c r="I1314" s="209"/>
      <c r="J1314" s="209"/>
      <c r="K1314" s="209"/>
      <c r="L1314" s="209"/>
      <c r="M1314" s="207"/>
      <c r="N1314" s="209"/>
      <c r="O1314" s="209"/>
      <c r="P1314" s="209"/>
      <c r="Q1314" s="209"/>
      <c r="R1314" s="209"/>
      <c r="S1314" s="210"/>
    </row>
    <row r="1315" spans="1:19" s="14" customFormat="1" ht="57" x14ac:dyDescent="0.7">
      <c r="A1315" s="248"/>
      <c r="B1315" s="214"/>
      <c r="C1315" s="207"/>
      <c r="D1315" s="232"/>
      <c r="E1315" s="232"/>
      <c r="F1315" s="209"/>
      <c r="G1315" s="209"/>
      <c r="H1315" s="209"/>
      <c r="I1315" s="209"/>
      <c r="J1315" s="209"/>
      <c r="K1315" s="209"/>
      <c r="L1315" s="209"/>
      <c r="M1315" s="207"/>
      <c r="N1315" s="209"/>
      <c r="O1315" s="209"/>
      <c r="P1315" s="209"/>
      <c r="Q1315" s="209"/>
      <c r="R1315" s="209"/>
      <c r="S1315" s="210"/>
    </row>
    <row r="1316" spans="1:19" s="14" customFormat="1" ht="57" x14ac:dyDescent="0.7">
      <c r="A1316" s="248"/>
      <c r="B1316" s="214"/>
      <c r="C1316" s="207"/>
      <c r="D1316" s="232"/>
      <c r="E1316" s="232"/>
      <c r="F1316" s="209"/>
      <c r="G1316" s="209"/>
      <c r="H1316" s="209"/>
      <c r="I1316" s="209"/>
      <c r="J1316" s="209"/>
      <c r="K1316" s="209"/>
      <c r="L1316" s="209"/>
      <c r="M1316" s="207"/>
      <c r="N1316" s="209"/>
      <c r="O1316" s="209"/>
      <c r="P1316" s="209"/>
      <c r="Q1316" s="209"/>
      <c r="R1316" s="209"/>
      <c r="S1316" s="210"/>
    </row>
    <row r="1317" spans="1:19" s="14" customFormat="1" ht="57" x14ac:dyDescent="0.7">
      <c r="A1317" s="248"/>
      <c r="B1317" s="214"/>
      <c r="C1317" s="207"/>
      <c r="D1317" s="232"/>
      <c r="E1317" s="232"/>
      <c r="F1317" s="209"/>
      <c r="G1317" s="209"/>
      <c r="H1317" s="209"/>
      <c r="I1317" s="209"/>
      <c r="J1317" s="209"/>
      <c r="K1317" s="209"/>
      <c r="L1317" s="209"/>
      <c r="M1317" s="207"/>
      <c r="N1317" s="209"/>
      <c r="O1317" s="209"/>
      <c r="P1317" s="209"/>
      <c r="Q1317" s="209"/>
      <c r="R1317" s="209"/>
      <c r="S1317" s="210"/>
    </row>
    <row r="1318" spans="1:19" s="14" customFormat="1" ht="57" x14ac:dyDescent="0.7">
      <c r="A1318" s="248"/>
      <c r="B1318" s="214"/>
      <c r="C1318" s="207"/>
      <c r="D1318" s="232"/>
      <c r="E1318" s="232"/>
      <c r="F1318" s="209"/>
      <c r="G1318" s="209"/>
      <c r="H1318" s="209"/>
      <c r="I1318" s="209"/>
      <c r="J1318" s="209"/>
      <c r="K1318" s="209"/>
      <c r="L1318" s="209"/>
      <c r="M1318" s="207"/>
      <c r="N1318" s="209"/>
      <c r="O1318" s="209"/>
      <c r="P1318" s="209"/>
      <c r="Q1318" s="209"/>
      <c r="R1318" s="209"/>
      <c r="S1318" s="210"/>
    </row>
    <row r="1319" spans="1:19" s="14" customFormat="1" ht="57" x14ac:dyDescent="0.7">
      <c r="A1319" s="248"/>
      <c r="B1319" s="214"/>
      <c r="C1319" s="207"/>
      <c r="D1319" s="232"/>
      <c r="E1319" s="232"/>
      <c r="F1319" s="209"/>
      <c r="G1319" s="209"/>
      <c r="H1319" s="209"/>
      <c r="I1319" s="209"/>
      <c r="J1319" s="209"/>
      <c r="K1319" s="209"/>
      <c r="L1319" s="209"/>
      <c r="M1319" s="207"/>
      <c r="N1319" s="209"/>
      <c r="O1319" s="209"/>
      <c r="P1319" s="209"/>
      <c r="Q1319" s="209"/>
      <c r="R1319" s="209"/>
      <c r="S1319" s="210"/>
    </row>
    <row r="1320" spans="1:19" s="14" customFormat="1" ht="57" x14ac:dyDescent="0.7">
      <c r="A1320" s="248"/>
      <c r="B1320" s="214"/>
      <c r="C1320" s="207"/>
      <c r="D1320" s="232"/>
      <c r="E1320" s="232"/>
      <c r="F1320" s="209"/>
      <c r="G1320" s="209"/>
      <c r="H1320" s="209"/>
      <c r="I1320" s="209"/>
      <c r="J1320" s="209"/>
      <c r="K1320" s="209"/>
      <c r="L1320" s="209"/>
      <c r="M1320" s="207"/>
      <c r="N1320" s="209"/>
      <c r="O1320" s="209"/>
      <c r="P1320" s="209"/>
      <c r="Q1320" s="209"/>
      <c r="R1320" s="209"/>
      <c r="S1320" s="210"/>
    </row>
    <row r="1321" spans="1:19" s="14" customFormat="1" ht="57" x14ac:dyDescent="0.7">
      <c r="A1321" s="248"/>
      <c r="B1321" s="214"/>
      <c r="C1321" s="207"/>
      <c r="D1321" s="232"/>
      <c r="E1321" s="232"/>
      <c r="F1321" s="209"/>
      <c r="G1321" s="209"/>
      <c r="H1321" s="209"/>
      <c r="I1321" s="209"/>
      <c r="J1321" s="209"/>
      <c r="K1321" s="209"/>
      <c r="L1321" s="209"/>
      <c r="M1321" s="207"/>
      <c r="N1321" s="209"/>
      <c r="O1321" s="209"/>
      <c r="P1321" s="209"/>
      <c r="Q1321" s="209"/>
      <c r="R1321" s="209"/>
      <c r="S1321" s="210"/>
    </row>
    <row r="1322" spans="1:19" s="14" customFormat="1" ht="57" x14ac:dyDescent="0.7">
      <c r="A1322" s="248"/>
      <c r="B1322" s="214"/>
      <c r="C1322" s="207"/>
      <c r="D1322" s="232"/>
      <c r="E1322" s="232"/>
      <c r="F1322" s="209"/>
      <c r="G1322" s="209"/>
      <c r="H1322" s="209"/>
      <c r="I1322" s="209"/>
      <c r="J1322" s="209"/>
      <c r="K1322" s="209"/>
      <c r="L1322" s="209"/>
      <c r="M1322" s="207"/>
      <c r="N1322" s="209"/>
      <c r="O1322" s="209"/>
      <c r="P1322" s="209"/>
      <c r="Q1322" s="209"/>
      <c r="R1322" s="209"/>
      <c r="S1322" s="210"/>
    </row>
    <row r="1323" spans="1:19" s="14" customFormat="1" ht="57" x14ac:dyDescent="0.7">
      <c r="A1323" s="248"/>
      <c r="B1323" s="214"/>
      <c r="C1323" s="207"/>
      <c r="D1323" s="232"/>
      <c r="E1323" s="232"/>
      <c r="F1323" s="209"/>
      <c r="G1323" s="209"/>
      <c r="H1323" s="209"/>
      <c r="I1323" s="209"/>
      <c r="J1323" s="209"/>
      <c r="K1323" s="209"/>
      <c r="L1323" s="209"/>
      <c r="M1323" s="207"/>
      <c r="N1323" s="209"/>
      <c r="O1323" s="209"/>
      <c r="P1323" s="209"/>
      <c r="Q1323" s="209"/>
      <c r="R1323" s="209"/>
      <c r="S1323" s="210"/>
    </row>
    <row r="1324" spans="1:19" s="14" customFormat="1" ht="57" x14ac:dyDescent="0.7">
      <c r="A1324" s="248"/>
      <c r="B1324" s="214"/>
      <c r="C1324" s="207"/>
      <c r="D1324" s="232"/>
      <c r="E1324" s="232"/>
      <c r="F1324" s="209"/>
      <c r="G1324" s="209"/>
      <c r="H1324" s="209"/>
      <c r="I1324" s="209"/>
      <c r="J1324" s="209"/>
      <c r="K1324" s="209"/>
      <c r="L1324" s="209"/>
      <c r="M1324" s="207"/>
      <c r="N1324" s="209"/>
      <c r="O1324" s="209"/>
      <c r="P1324" s="209"/>
      <c r="Q1324" s="209"/>
      <c r="R1324" s="209"/>
      <c r="S1324" s="210"/>
    </row>
    <row r="1325" spans="1:19" s="14" customFormat="1" ht="57" x14ac:dyDescent="0.7">
      <c r="A1325" s="248"/>
      <c r="B1325" s="214"/>
      <c r="C1325" s="207"/>
      <c r="D1325" s="232"/>
      <c r="E1325" s="232"/>
      <c r="F1325" s="209"/>
      <c r="G1325" s="209"/>
      <c r="H1325" s="209"/>
      <c r="I1325" s="209"/>
      <c r="J1325" s="209"/>
      <c r="K1325" s="209"/>
      <c r="L1325" s="209"/>
      <c r="M1325" s="207"/>
      <c r="N1325" s="209"/>
      <c r="O1325" s="209"/>
      <c r="P1325" s="209"/>
      <c r="Q1325" s="209"/>
      <c r="R1325" s="209"/>
      <c r="S1325" s="210"/>
    </row>
    <row r="1326" spans="1:19" s="14" customFormat="1" ht="57" x14ac:dyDescent="0.7">
      <c r="A1326" s="248"/>
      <c r="B1326" s="214"/>
      <c r="C1326" s="207"/>
      <c r="D1326" s="232"/>
      <c r="E1326" s="232"/>
      <c r="F1326" s="209"/>
      <c r="G1326" s="209"/>
      <c r="H1326" s="209"/>
      <c r="I1326" s="209"/>
      <c r="J1326" s="209"/>
      <c r="K1326" s="209"/>
      <c r="L1326" s="209"/>
      <c r="M1326" s="207"/>
      <c r="N1326" s="209"/>
      <c r="O1326" s="209"/>
      <c r="P1326" s="209"/>
      <c r="Q1326" s="209"/>
      <c r="R1326" s="209"/>
      <c r="S1326" s="210"/>
    </row>
    <row r="1327" spans="1:19" s="14" customFormat="1" ht="57" x14ac:dyDescent="0.7">
      <c r="A1327" s="248"/>
      <c r="B1327" s="214"/>
      <c r="C1327" s="207"/>
      <c r="D1327" s="232"/>
      <c r="E1327" s="232"/>
      <c r="F1327" s="209"/>
      <c r="G1327" s="209"/>
      <c r="H1327" s="209"/>
      <c r="I1327" s="209"/>
      <c r="J1327" s="209"/>
      <c r="K1327" s="209"/>
      <c r="L1327" s="209"/>
      <c r="M1327" s="207"/>
      <c r="N1327" s="209"/>
      <c r="O1327" s="209"/>
      <c r="P1327" s="209"/>
      <c r="Q1327" s="209"/>
      <c r="R1327" s="209"/>
      <c r="S1327" s="210"/>
    </row>
    <row r="1328" spans="1:19" s="14" customFormat="1" ht="57" x14ac:dyDescent="0.7">
      <c r="A1328" s="248"/>
      <c r="B1328" s="214"/>
      <c r="C1328" s="207"/>
      <c r="D1328" s="232"/>
      <c r="E1328" s="232"/>
      <c r="F1328" s="209"/>
      <c r="G1328" s="209"/>
      <c r="H1328" s="209"/>
      <c r="I1328" s="209"/>
      <c r="J1328" s="209"/>
      <c r="K1328" s="209"/>
      <c r="L1328" s="209"/>
      <c r="M1328" s="207"/>
      <c r="N1328" s="209"/>
      <c r="O1328" s="209"/>
      <c r="P1328" s="209"/>
      <c r="Q1328" s="209"/>
      <c r="R1328" s="209"/>
      <c r="S1328" s="210"/>
    </row>
    <row r="1329" spans="1:19" s="14" customFormat="1" ht="57" x14ac:dyDescent="0.7">
      <c r="A1329" s="248"/>
      <c r="B1329" s="214"/>
      <c r="C1329" s="207"/>
      <c r="D1329" s="232"/>
      <c r="E1329" s="232"/>
      <c r="F1329" s="209"/>
      <c r="G1329" s="209"/>
      <c r="H1329" s="209"/>
      <c r="I1329" s="209"/>
      <c r="J1329" s="209"/>
      <c r="K1329" s="209"/>
      <c r="L1329" s="209"/>
      <c r="M1329" s="207"/>
      <c r="N1329" s="209"/>
      <c r="O1329" s="209"/>
      <c r="P1329" s="209"/>
      <c r="Q1329" s="209"/>
      <c r="R1329" s="209"/>
      <c r="S1329" s="210"/>
    </row>
    <row r="1330" spans="1:19" s="14" customFormat="1" ht="57" x14ac:dyDescent="0.7">
      <c r="A1330" s="248"/>
      <c r="B1330" s="214"/>
      <c r="C1330" s="207"/>
      <c r="D1330" s="232"/>
      <c r="E1330" s="232"/>
      <c r="F1330" s="209"/>
      <c r="G1330" s="209"/>
      <c r="H1330" s="209"/>
      <c r="I1330" s="209"/>
      <c r="J1330" s="209"/>
      <c r="K1330" s="209"/>
      <c r="L1330" s="209"/>
      <c r="M1330" s="207"/>
      <c r="N1330" s="209"/>
      <c r="O1330" s="209"/>
      <c r="P1330" s="209"/>
      <c r="Q1330" s="209"/>
      <c r="R1330" s="209"/>
      <c r="S1330" s="210"/>
    </row>
    <row r="1331" spans="1:19" s="14" customFormat="1" ht="57" x14ac:dyDescent="0.7">
      <c r="A1331" s="248"/>
      <c r="B1331" s="214"/>
      <c r="C1331" s="207"/>
      <c r="D1331" s="232"/>
      <c r="E1331" s="232"/>
      <c r="F1331" s="209"/>
      <c r="G1331" s="209"/>
      <c r="H1331" s="209"/>
      <c r="I1331" s="209"/>
      <c r="J1331" s="209"/>
      <c r="K1331" s="209"/>
      <c r="L1331" s="209"/>
      <c r="M1331" s="207"/>
      <c r="N1331" s="209"/>
      <c r="O1331" s="209"/>
      <c r="P1331" s="209"/>
      <c r="Q1331" s="209"/>
      <c r="R1331" s="209"/>
      <c r="S1331" s="210"/>
    </row>
    <row r="1332" spans="1:19" s="14" customFormat="1" ht="57" x14ac:dyDescent="0.7">
      <c r="A1332" s="248"/>
      <c r="B1332" s="214"/>
      <c r="C1332" s="207"/>
      <c r="D1332" s="232"/>
      <c r="E1332" s="232"/>
      <c r="F1332" s="209"/>
      <c r="G1332" s="209"/>
      <c r="H1332" s="209"/>
      <c r="I1332" s="209"/>
      <c r="J1332" s="209"/>
      <c r="K1332" s="209"/>
      <c r="L1332" s="209"/>
      <c r="M1332" s="207"/>
      <c r="N1332" s="209"/>
      <c r="O1332" s="209"/>
      <c r="P1332" s="209"/>
      <c r="Q1332" s="209"/>
      <c r="R1332" s="209"/>
      <c r="S1332" s="210"/>
    </row>
    <row r="1333" spans="1:19" s="14" customFormat="1" ht="57" x14ac:dyDescent="0.7">
      <c r="A1333" s="248"/>
      <c r="B1333" s="214"/>
      <c r="C1333" s="207"/>
      <c r="D1333" s="232"/>
      <c r="E1333" s="232"/>
      <c r="F1333" s="209"/>
      <c r="G1333" s="209"/>
      <c r="H1333" s="209"/>
      <c r="I1333" s="209"/>
      <c r="J1333" s="209"/>
      <c r="K1333" s="209"/>
      <c r="L1333" s="209"/>
      <c r="M1333" s="207"/>
      <c r="N1333" s="209"/>
      <c r="O1333" s="209"/>
      <c r="P1333" s="209"/>
      <c r="Q1333" s="209"/>
      <c r="R1333" s="209"/>
      <c r="S1333" s="210"/>
    </row>
    <row r="1334" spans="1:19" s="14" customFormat="1" ht="57" x14ac:dyDescent="0.7">
      <c r="A1334" s="248"/>
      <c r="B1334" s="214"/>
      <c r="C1334" s="207"/>
      <c r="D1334" s="232"/>
      <c r="E1334" s="232"/>
      <c r="F1334" s="209"/>
      <c r="G1334" s="209"/>
      <c r="H1334" s="209"/>
      <c r="I1334" s="209"/>
      <c r="J1334" s="209"/>
      <c r="K1334" s="209"/>
      <c r="L1334" s="209"/>
      <c r="M1334" s="207"/>
      <c r="N1334" s="209"/>
      <c r="O1334" s="209"/>
      <c r="P1334" s="209"/>
      <c r="Q1334" s="209"/>
      <c r="R1334" s="209"/>
      <c r="S1334" s="210"/>
    </row>
    <row r="1335" spans="1:19" s="14" customFormat="1" ht="57" x14ac:dyDescent="0.7">
      <c r="A1335" s="248"/>
      <c r="B1335" s="214"/>
      <c r="C1335" s="207"/>
      <c r="D1335" s="232"/>
      <c r="E1335" s="232"/>
      <c r="F1335" s="209"/>
      <c r="G1335" s="209"/>
      <c r="H1335" s="209"/>
      <c r="I1335" s="209"/>
      <c r="J1335" s="209"/>
      <c r="K1335" s="209"/>
      <c r="L1335" s="209"/>
      <c r="M1335" s="207"/>
      <c r="N1335" s="209"/>
      <c r="O1335" s="209"/>
      <c r="P1335" s="209"/>
      <c r="Q1335" s="209"/>
      <c r="R1335" s="209"/>
      <c r="S1335" s="210"/>
    </row>
    <row r="1336" spans="1:19" s="14" customFormat="1" ht="57" x14ac:dyDescent="0.7">
      <c r="A1336" s="248"/>
      <c r="B1336" s="214"/>
      <c r="C1336" s="207"/>
      <c r="D1336" s="232"/>
      <c r="E1336" s="232"/>
      <c r="F1336" s="209"/>
      <c r="G1336" s="209"/>
      <c r="H1336" s="209"/>
      <c r="I1336" s="209"/>
      <c r="J1336" s="209"/>
      <c r="K1336" s="209"/>
      <c r="L1336" s="209"/>
      <c r="M1336" s="207"/>
      <c r="N1336" s="209"/>
      <c r="O1336" s="209"/>
      <c r="P1336" s="209"/>
      <c r="Q1336" s="209"/>
      <c r="R1336" s="209"/>
      <c r="S1336" s="210"/>
    </row>
    <row r="1337" spans="1:19" s="14" customFormat="1" ht="57" x14ac:dyDescent="0.7">
      <c r="A1337" s="248"/>
      <c r="B1337" s="214"/>
      <c r="C1337" s="207"/>
      <c r="D1337" s="232"/>
      <c r="E1337" s="232"/>
      <c r="F1337" s="209"/>
      <c r="G1337" s="209"/>
      <c r="H1337" s="209"/>
      <c r="I1337" s="209"/>
      <c r="J1337" s="209"/>
      <c r="K1337" s="209"/>
      <c r="L1337" s="209"/>
      <c r="M1337" s="207"/>
      <c r="N1337" s="209"/>
      <c r="O1337" s="209"/>
      <c r="P1337" s="209"/>
      <c r="Q1337" s="209"/>
      <c r="R1337" s="209"/>
      <c r="S1337" s="210"/>
    </row>
    <row r="1338" spans="1:19" s="14" customFormat="1" ht="57" x14ac:dyDescent="0.7">
      <c r="A1338" s="248"/>
      <c r="B1338" s="214"/>
      <c r="C1338" s="207"/>
      <c r="D1338" s="232"/>
      <c r="E1338" s="232"/>
      <c r="F1338" s="209"/>
      <c r="G1338" s="209"/>
      <c r="H1338" s="209"/>
      <c r="I1338" s="209"/>
      <c r="J1338" s="209"/>
      <c r="K1338" s="209"/>
      <c r="L1338" s="209"/>
      <c r="M1338" s="207"/>
      <c r="N1338" s="209"/>
      <c r="O1338" s="209"/>
      <c r="P1338" s="209"/>
      <c r="Q1338" s="209"/>
      <c r="R1338" s="209"/>
      <c r="S1338" s="210"/>
    </row>
    <row r="1339" spans="1:19" s="14" customFormat="1" ht="57" x14ac:dyDescent="0.7">
      <c r="A1339" s="248"/>
      <c r="B1339" s="214"/>
      <c r="C1339" s="207"/>
      <c r="D1339" s="232"/>
      <c r="E1339" s="232"/>
      <c r="F1339" s="209"/>
      <c r="G1339" s="209"/>
      <c r="H1339" s="209"/>
      <c r="I1339" s="209"/>
      <c r="J1339" s="209"/>
      <c r="K1339" s="209"/>
      <c r="L1339" s="209"/>
      <c r="M1339" s="207"/>
      <c r="N1339" s="209"/>
      <c r="O1339" s="209"/>
      <c r="P1339" s="209"/>
      <c r="Q1339" s="209"/>
      <c r="R1339" s="209"/>
      <c r="S1339" s="210"/>
    </row>
    <row r="1340" spans="1:19" s="14" customFormat="1" ht="57" x14ac:dyDescent="0.7">
      <c r="A1340" s="248"/>
      <c r="B1340" s="214"/>
      <c r="C1340" s="207"/>
      <c r="D1340" s="232"/>
      <c r="E1340" s="232"/>
      <c r="F1340" s="209"/>
      <c r="G1340" s="209"/>
      <c r="H1340" s="209"/>
      <c r="I1340" s="209"/>
      <c r="J1340" s="209"/>
      <c r="K1340" s="209"/>
      <c r="L1340" s="209"/>
      <c r="M1340" s="207"/>
      <c r="N1340" s="209"/>
      <c r="O1340" s="209"/>
      <c r="P1340" s="209"/>
      <c r="Q1340" s="209"/>
      <c r="R1340" s="209"/>
      <c r="S1340" s="210"/>
    </row>
    <row r="1341" spans="1:19" s="14" customFormat="1" ht="57" x14ac:dyDescent="0.7">
      <c r="A1341" s="248"/>
      <c r="B1341" s="214"/>
      <c r="C1341" s="207"/>
      <c r="D1341" s="232"/>
      <c r="E1341" s="232"/>
      <c r="F1341" s="209"/>
      <c r="G1341" s="209"/>
      <c r="H1341" s="209"/>
      <c r="I1341" s="209"/>
      <c r="J1341" s="209"/>
      <c r="K1341" s="209"/>
      <c r="L1341" s="209"/>
      <c r="M1341" s="207"/>
      <c r="N1341" s="209"/>
      <c r="O1341" s="209"/>
      <c r="P1341" s="209"/>
      <c r="Q1341" s="209"/>
      <c r="R1341" s="209"/>
      <c r="S1341" s="210"/>
    </row>
    <row r="1342" spans="1:19" s="14" customFormat="1" ht="57" x14ac:dyDescent="0.7">
      <c r="A1342" s="248"/>
      <c r="B1342" s="214"/>
      <c r="C1342" s="207"/>
      <c r="D1342" s="232"/>
      <c r="E1342" s="232"/>
      <c r="F1342" s="209"/>
      <c r="G1342" s="209"/>
      <c r="H1342" s="209"/>
      <c r="I1342" s="209"/>
      <c r="J1342" s="209"/>
      <c r="K1342" s="209"/>
      <c r="L1342" s="209"/>
      <c r="M1342" s="207"/>
      <c r="N1342" s="209"/>
      <c r="O1342" s="209"/>
      <c r="P1342" s="209"/>
      <c r="Q1342" s="209"/>
      <c r="R1342" s="209"/>
      <c r="S1342" s="210"/>
    </row>
    <row r="1343" spans="1:19" s="14" customFormat="1" ht="57" x14ac:dyDescent="0.7">
      <c r="A1343" s="248"/>
      <c r="B1343" s="214"/>
      <c r="C1343" s="207"/>
      <c r="D1343" s="232"/>
      <c r="E1343" s="232"/>
      <c r="F1343" s="209"/>
      <c r="G1343" s="209"/>
      <c r="H1343" s="209"/>
      <c r="I1343" s="209"/>
      <c r="J1343" s="209"/>
      <c r="K1343" s="209"/>
      <c r="L1343" s="209"/>
      <c r="M1343" s="207"/>
      <c r="N1343" s="209"/>
      <c r="O1343" s="209"/>
      <c r="P1343" s="209"/>
      <c r="Q1343" s="209"/>
      <c r="R1343" s="209"/>
      <c r="S1343" s="210"/>
    </row>
    <row r="1344" spans="1:19" s="14" customFormat="1" ht="57" x14ac:dyDescent="0.7">
      <c r="A1344" s="248"/>
      <c r="B1344" s="214"/>
      <c r="C1344" s="207"/>
      <c r="D1344" s="232"/>
      <c r="E1344" s="232"/>
      <c r="F1344" s="209"/>
      <c r="G1344" s="209"/>
      <c r="H1344" s="209"/>
      <c r="I1344" s="209"/>
      <c r="J1344" s="209"/>
      <c r="K1344" s="209"/>
      <c r="L1344" s="209"/>
      <c r="M1344" s="207"/>
      <c r="N1344" s="209"/>
      <c r="O1344" s="209"/>
      <c r="P1344" s="209"/>
      <c r="Q1344" s="209"/>
      <c r="R1344" s="209"/>
      <c r="S1344" s="210"/>
    </row>
    <row r="1345" spans="1:19" s="14" customFormat="1" ht="57" x14ac:dyDescent="0.7">
      <c r="A1345" s="248"/>
      <c r="B1345" s="214"/>
      <c r="C1345" s="207"/>
      <c r="D1345" s="232"/>
      <c r="E1345" s="232"/>
      <c r="F1345" s="209"/>
      <c r="G1345" s="209"/>
      <c r="H1345" s="209"/>
      <c r="I1345" s="209"/>
      <c r="J1345" s="209"/>
      <c r="K1345" s="209"/>
      <c r="L1345" s="209"/>
      <c r="M1345" s="207"/>
      <c r="N1345" s="209"/>
      <c r="O1345" s="209"/>
      <c r="P1345" s="209"/>
      <c r="Q1345" s="209"/>
      <c r="R1345" s="209"/>
      <c r="S1345" s="210"/>
    </row>
    <row r="1346" spans="1:19" s="14" customFormat="1" ht="57" x14ac:dyDescent="0.7">
      <c r="A1346" s="248"/>
      <c r="B1346" s="214"/>
      <c r="C1346" s="207"/>
      <c r="D1346" s="232"/>
      <c r="E1346" s="232"/>
      <c r="F1346" s="209"/>
      <c r="G1346" s="209"/>
      <c r="H1346" s="209"/>
      <c r="I1346" s="209"/>
      <c r="J1346" s="209"/>
      <c r="K1346" s="209"/>
      <c r="L1346" s="209"/>
      <c r="M1346" s="207"/>
      <c r="N1346" s="209"/>
      <c r="O1346" s="209"/>
      <c r="P1346" s="209"/>
      <c r="Q1346" s="209"/>
      <c r="R1346" s="209"/>
      <c r="S1346" s="210"/>
    </row>
    <row r="1347" spans="1:19" s="14" customFormat="1" ht="57" x14ac:dyDescent="0.7">
      <c r="A1347" s="248"/>
      <c r="B1347" s="214"/>
      <c r="C1347" s="207"/>
      <c r="D1347" s="232"/>
      <c r="E1347" s="232"/>
      <c r="F1347" s="209"/>
      <c r="G1347" s="209"/>
      <c r="H1347" s="209"/>
      <c r="I1347" s="209"/>
      <c r="J1347" s="209"/>
      <c r="K1347" s="209"/>
      <c r="L1347" s="209"/>
      <c r="M1347" s="207"/>
      <c r="N1347" s="209"/>
      <c r="O1347" s="209"/>
      <c r="P1347" s="209"/>
      <c r="Q1347" s="209"/>
      <c r="R1347" s="209"/>
      <c r="S1347" s="210"/>
    </row>
    <row r="1348" spans="1:19" s="14" customFormat="1" ht="57" x14ac:dyDescent="0.7">
      <c r="A1348" s="248"/>
      <c r="B1348" s="214"/>
      <c r="C1348" s="207"/>
      <c r="D1348" s="232"/>
      <c r="E1348" s="232"/>
      <c r="F1348" s="209"/>
      <c r="G1348" s="209"/>
      <c r="H1348" s="209"/>
      <c r="I1348" s="209"/>
      <c r="J1348" s="209"/>
      <c r="K1348" s="209"/>
      <c r="L1348" s="209"/>
      <c r="M1348" s="207"/>
      <c r="N1348" s="209"/>
      <c r="O1348" s="209"/>
      <c r="P1348" s="209"/>
      <c r="Q1348" s="209"/>
      <c r="R1348" s="209"/>
      <c r="S1348" s="210"/>
    </row>
    <row r="1349" spans="1:19" s="14" customFormat="1" ht="57" x14ac:dyDescent="0.7">
      <c r="A1349" s="248"/>
      <c r="B1349" s="214"/>
      <c r="C1349" s="207"/>
      <c r="D1349" s="232"/>
      <c r="E1349" s="232"/>
      <c r="F1349" s="209"/>
      <c r="G1349" s="209"/>
      <c r="H1349" s="209"/>
      <c r="I1349" s="209"/>
      <c r="J1349" s="209"/>
      <c r="K1349" s="209"/>
      <c r="L1349" s="209"/>
      <c r="M1349" s="207"/>
      <c r="N1349" s="209"/>
      <c r="O1349" s="209"/>
      <c r="P1349" s="209"/>
      <c r="Q1349" s="209"/>
      <c r="R1349" s="209"/>
      <c r="S1349" s="210"/>
    </row>
    <row r="1350" spans="1:19" s="14" customFormat="1" ht="57" x14ac:dyDescent="0.7">
      <c r="A1350" s="248"/>
      <c r="B1350" s="214"/>
      <c r="C1350" s="207"/>
      <c r="D1350" s="232"/>
      <c r="E1350" s="232"/>
      <c r="F1350" s="209"/>
      <c r="G1350" s="209"/>
      <c r="H1350" s="209"/>
      <c r="I1350" s="209"/>
      <c r="J1350" s="209"/>
      <c r="K1350" s="209"/>
      <c r="L1350" s="209"/>
      <c r="M1350" s="207"/>
      <c r="N1350" s="209"/>
      <c r="O1350" s="209"/>
      <c r="P1350" s="209"/>
      <c r="Q1350" s="209"/>
      <c r="R1350" s="209"/>
      <c r="S1350" s="210"/>
    </row>
    <row r="1351" spans="1:19" s="14" customFormat="1" ht="57" x14ac:dyDescent="0.7">
      <c r="A1351" s="248"/>
      <c r="B1351" s="214"/>
      <c r="C1351" s="207"/>
      <c r="D1351" s="232"/>
      <c r="E1351" s="232"/>
      <c r="F1351" s="209"/>
      <c r="G1351" s="209"/>
      <c r="H1351" s="209"/>
      <c r="I1351" s="209"/>
      <c r="J1351" s="209"/>
      <c r="K1351" s="209"/>
      <c r="L1351" s="209"/>
      <c r="M1351" s="207"/>
      <c r="N1351" s="209"/>
      <c r="O1351" s="209"/>
      <c r="P1351" s="209"/>
      <c r="Q1351" s="209"/>
      <c r="R1351" s="209"/>
      <c r="S1351" s="210"/>
    </row>
    <row r="1352" spans="1:19" s="14" customFormat="1" ht="57" x14ac:dyDescent="0.7">
      <c r="A1352" s="248"/>
      <c r="B1352" s="214"/>
      <c r="C1352" s="207"/>
      <c r="D1352" s="232"/>
      <c r="E1352" s="232"/>
      <c r="F1352" s="209"/>
      <c r="G1352" s="209"/>
      <c r="H1352" s="209"/>
      <c r="I1352" s="209"/>
      <c r="J1352" s="209"/>
      <c r="K1352" s="209"/>
      <c r="L1352" s="209"/>
      <c r="M1352" s="207"/>
      <c r="N1352" s="209"/>
      <c r="O1352" s="209"/>
      <c r="P1352" s="209"/>
      <c r="Q1352" s="209"/>
      <c r="R1352" s="209"/>
      <c r="S1352" s="210"/>
    </row>
    <row r="1353" spans="1:19" s="14" customFormat="1" ht="57" x14ac:dyDescent="0.7">
      <c r="A1353" s="248"/>
      <c r="B1353" s="214"/>
      <c r="C1353" s="207"/>
      <c r="D1353" s="232"/>
      <c r="E1353" s="232"/>
      <c r="F1353" s="209"/>
      <c r="G1353" s="209"/>
      <c r="H1353" s="209"/>
      <c r="I1353" s="209"/>
      <c r="J1353" s="209"/>
      <c r="K1353" s="209"/>
      <c r="L1353" s="209"/>
      <c r="M1353" s="207"/>
      <c r="N1353" s="209"/>
      <c r="O1353" s="209"/>
      <c r="P1353" s="209"/>
      <c r="Q1353" s="209"/>
      <c r="R1353" s="209"/>
      <c r="S1353" s="210"/>
    </row>
    <row r="1354" spans="1:19" s="14" customFormat="1" ht="57" x14ac:dyDescent="0.7">
      <c r="A1354" s="248"/>
      <c r="B1354" s="214"/>
      <c r="C1354" s="207"/>
      <c r="D1354" s="232"/>
      <c r="E1354" s="232"/>
      <c r="F1354" s="209"/>
      <c r="G1354" s="209"/>
      <c r="H1354" s="209"/>
      <c r="I1354" s="209"/>
      <c r="J1354" s="209"/>
      <c r="K1354" s="209"/>
      <c r="L1354" s="209"/>
      <c r="M1354" s="207"/>
      <c r="N1354" s="209"/>
      <c r="O1354" s="209"/>
      <c r="P1354" s="209"/>
      <c r="Q1354" s="209"/>
      <c r="R1354" s="209"/>
      <c r="S1354" s="210"/>
    </row>
    <row r="1355" spans="1:19" s="14" customFormat="1" ht="57" x14ac:dyDescent="0.7">
      <c r="A1355" s="248"/>
      <c r="B1355" s="214"/>
      <c r="C1355" s="207"/>
      <c r="D1355" s="232"/>
      <c r="E1355" s="232"/>
      <c r="F1355" s="209"/>
      <c r="G1355" s="209"/>
      <c r="H1355" s="209"/>
      <c r="I1355" s="209"/>
      <c r="J1355" s="209"/>
      <c r="K1355" s="209"/>
      <c r="L1355" s="209"/>
      <c r="M1355" s="207"/>
      <c r="N1355" s="209"/>
      <c r="O1355" s="209"/>
      <c r="P1355" s="209"/>
      <c r="Q1355" s="209"/>
      <c r="R1355" s="209"/>
      <c r="S1355" s="210"/>
    </row>
    <row r="1356" spans="1:19" s="14" customFormat="1" ht="57" x14ac:dyDescent="0.7">
      <c r="A1356" s="248"/>
      <c r="B1356" s="214"/>
      <c r="C1356" s="207"/>
      <c r="D1356" s="232"/>
      <c r="E1356" s="232"/>
      <c r="F1356" s="209"/>
      <c r="G1356" s="209"/>
      <c r="H1356" s="209"/>
      <c r="I1356" s="209"/>
      <c r="J1356" s="209"/>
      <c r="K1356" s="209"/>
      <c r="L1356" s="209"/>
      <c r="M1356" s="207"/>
      <c r="N1356" s="209"/>
      <c r="O1356" s="209"/>
      <c r="P1356" s="209"/>
      <c r="Q1356" s="209"/>
      <c r="R1356" s="209"/>
      <c r="S1356" s="210"/>
    </row>
    <row r="1357" spans="1:19" s="14" customFormat="1" ht="57" x14ac:dyDescent="0.7">
      <c r="A1357" s="248"/>
      <c r="B1357" s="214"/>
      <c r="C1357" s="207"/>
      <c r="D1357" s="232"/>
      <c r="E1357" s="232"/>
      <c r="F1357" s="209"/>
      <c r="G1357" s="209"/>
      <c r="H1357" s="209"/>
      <c r="I1357" s="209"/>
      <c r="J1357" s="209"/>
      <c r="K1357" s="209"/>
      <c r="L1357" s="209"/>
      <c r="M1357" s="207"/>
      <c r="N1357" s="209"/>
      <c r="O1357" s="209"/>
      <c r="P1357" s="209"/>
      <c r="Q1357" s="209"/>
      <c r="R1357" s="209"/>
      <c r="S1357" s="210"/>
    </row>
    <row r="1358" spans="1:19" s="14" customFormat="1" ht="57" x14ac:dyDescent="0.7">
      <c r="A1358" s="248"/>
      <c r="B1358" s="214"/>
      <c r="C1358" s="207"/>
      <c r="D1358" s="232"/>
      <c r="E1358" s="232"/>
      <c r="F1358" s="209"/>
      <c r="G1358" s="209"/>
      <c r="H1358" s="209"/>
      <c r="I1358" s="209"/>
      <c r="J1358" s="209"/>
      <c r="K1358" s="209"/>
      <c r="L1358" s="209"/>
      <c r="M1358" s="207"/>
      <c r="N1358" s="209"/>
      <c r="O1358" s="209"/>
      <c r="P1358" s="209"/>
      <c r="Q1358" s="209"/>
      <c r="R1358" s="209"/>
      <c r="S1358" s="210"/>
    </row>
    <row r="1359" spans="1:19" s="14" customFormat="1" ht="57" x14ac:dyDescent="0.7">
      <c r="A1359" s="248"/>
      <c r="B1359" s="214"/>
      <c r="C1359" s="207"/>
      <c r="D1359" s="232"/>
      <c r="E1359" s="232"/>
      <c r="F1359" s="209"/>
      <c r="G1359" s="209"/>
      <c r="H1359" s="209"/>
      <c r="I1359" s="209"/>
      <c r="J1359" s="209"/>
      <c r="K1359" s="209"/>
      <c r="L1359" s="209"/>
      <c r="M1359" s="207"/>
      <c r="N1359" s="209"/>
      <c r="O1359" s="209"/>
      <c r="P1359" s="209"/>
      <c r="Q1359" s="209"/>
      <c r="R1359" s="209"/>
      <c r="S1359" s="210"/>
    </row>
    <row r="1360" spans="1:19" s="14" customFormat="1" ht="57" x14ac:dyDescent="0.7">
      <c r="A1360" s="248"/>
      <c r="B1360" s="214"/>
      <c r="C1360" s="207"/>
      <c r="D1360" s="232"/>
      <c r="E1360" s="232"/>
      <c r="F1360" s="209"/>
      <c r="G1360" s="209"/>
      <c r="H1360" s="209"/>
      <c r="I1360" s="209"/>
      <c r="J1360" s="209"/>
      <c r="K1360" s="209"/>
      <c r="L1360" s="209"/>
      <c r="M1360" s="207"/>
      <c r="N1360" s="209"/>
      <c r="O1360" s="209"/>
      <c r="P1360" s="209"/>
      <c r="Q1360" s="209"/>
      <c r="R1360" s="209"/>
      <c r="S1360" s="210"/>
    </row>
    <row r="1361" spans="1:19" s="14" customFormat="1" ht="57" x14ac:dyDescent="0.7">
      <c r="A1361" s="248"/>
      <c r="B1361" s="214"/>
      <c r="C1361" s="207"/>
      <c r="D1361" s="232"/>
      <c r="E1361" s="232"/>
      <c r="F1361" s="209"/>
      <c r="G1361" s="209"/>
      <c r="H1361" s="209"/>
      <c r="I1361" s="209"/>
      <c r="J1361" s="209"/>
      <c r="K1361" s="209"/>
      <c r="L1361" s="209"/>
      <c r="M1361" s="207"/>
      <c r="N1361" s="209"/>
      <c r="O1361" s="209"/>
      <c r="P1361" s="209"/>
      <c r="Q1361" s="209"/>
      <c r="R1361" s="209"/>
      <c r="S1361" s="210"/>
    </row>
    <row r="1362" spans="1:19" s="14" customFormat="1" ht="57" x14ac:dyDescent="0.7">
      <c r="A1362" s="248"/>
      <c r="B1362" s="214"/>
      <c r="C1362" s="207"/>
      <c r="D1362" s="232"/>
      <c r="E1362" s="232"/>
      <c r="F1362" s="209"/>
      <c r="G1362" s="209"/>
      <c r="H1362" s="209"/>
      <c r="I1362" s="209"/>
      <c r="J1362" s="209"/>
      <c r="K1362" s="209"/>
      <c r="L1362" s="209"/>
      <c r="M1362" s="207"/>
      <c r="N1362" s="209"/>
      <c r="O1362" s="209"/>
      <c r="P1362" s="209"/>
      <c r="Q1362" s="209"/>
      <c r="R1362" s="209"/>
      <c r="S1362" s="210"/>
    </row>
    <row r="1363" spans="1:19" s="14" customFormat="1" ht="57" x14ac:dyDescent="0.7">
      <c r="A1363" s="248"/>
      <c r="B1363" s="214"/>
      <c r="C1363" s="207"/>
      <c r="D1363" s="232"/>
      <c r="E1363" s="232"/>
      <c r="F1363" s="209"/>
      <c r="G1363" s="209"/>
      <c r="H1363" s="209"/>
      <c r="I1363" s="209"/>
      <c r="J1363" s="209"/>
      <c r="K1363" s="209"/>
      <c r="L1363" s="209"/>
      <c r="M1363" s="207"/>
      <c r="N1363" s="209"/>
      <c r="O1363" s="209"/>
      <c r="P1363" s="209"/>
      <c r="Q1363" s="209"/>
      <c r="R1363" s="209"/>
      <c r="S1363" s="210"/>
    </row>
    <row r="1364" spans="1:19" s="14" customFormat="1" ht="57" x14ac:dyDescent="0.7">
      <c r="A1364" s="248"/>
      <c r="B1364" s="214"/>
      <c r="C1364" s="207"/>
      <c r="D1364" s="232"/>
      <c r="E1364" s="232"/>
      <c r="F1364" s="209"/>
      <c r="G1364" s="209"/>
      <c r="H1364" s="209"/>
      <c r="I1364" s="209"/>
      <c r="J1364" s="209"/>
      <c r="K1364" s="209"/>
      <c r="L1364" s="209"/>
      <c r="M1364" s="207"/>
      <c r="N1364" s="209"/>
      <c r="O1364" s="209"/>
      <c r="P1364" s="209"/>
      <c r="Q1364" s="209"/>
      <c r="R1364" s="209"/>
      <c r="S1364" s="210"/>
    </row>
    <row r="1365" spans="1:19" s="14" customFormat="1" ht="57" x14ac:dyDescent="0.7">
      <c r="A1365" s="248"/>
      <c r="B1365" s="214"/>
      <c r="C1365" s="207"/>
      <c r="D1365" s="232"/>
      <c r="E1365" s="232"/>
      <c r="F1365" s="209"/>
      <c r="G1365" s="209"/>
      <c r="H1365" s="209"/>
      <c r="I1365" s="209"/>
      <c r="J1365" s="209"/>
      <c r="K1365" s="209"/>
      <c r="L1365" s="209"/>
      <c r="M1365" s="207"/>
      <c r="N1365" s="209"/>
      <c r="O1365" s="209"/>
      <c r="P1365" s="209"/>
      <c r="Q1365" s="209"/>
      <c r="R1365" s="209"/>
      <c r="S1365" s="210"/>
    </row>
    <row r="1366" spans="1:19" s="14" customFormat="1" ht="57" x14ac:dyDescent="0.7">
      <c r="A1366" s="248"/>
      <c r="B1366" s="214"/>
      <c r="C1366" s="207"/>
      <c r="D1366" s="232"/>
      <c r="E1366" s="232"/>
      <c r="F1366" s="209"/>
      <c r="G1366" s="209"/>
      <c r="H1366" s="209"/>
      <c r="I1366" s="209"/>
      <c r="J1366" s="209"/>
      <c r="K1366" s="209"/>
      <c r="L1366" s="209"/>
      <c r="M1366" s="207"/>
      <c r="N1366" s="209"/>
      <c r="O1366" s="209"/>
      <c r="P1366" s="209"/>
      <c r="Q1366" s="209"/>
      <c r="R1366" s="209"/>
      <c r="S1366" s="210"/>
    </row>
    <row r="1367" spans="1:19" s="14" customFormat="1" ht="57" x14ac:dyDescent="0.7">
      <c r="A1367" s="248"/>
      <c r="B1367" s="214"/>
      <c r="C1367" s="207"/>
      <c r="D1367" s="232"/>
      <c r="E1367" s="232"/>
      <c r="F1367" s="209"/>
      <c r="G1367" s="209"/>
      <c r="H1367" s="209"/>
      <c r="I1367" s="209"/>
      <c r="J1367" s="209"/>
      <c r="K1367" s="209"/>
      <c r="L1367" s="209"/>
      <c r="M1367" s="207"/>
      <c r="N1367" s="209"/>
      <c r="O1367" s="209"/>
      <c r="P1367" s="209"/>
      <c r="Q1367" s="209"/>
      <c r="R1367" s="209"/>
      <c r="S1367" s="210"/>
    </row>
    <row r="1368" spans="1:19" s="14" customFormat="1" ht="57" x14ac:dyDescent="0.7">
      <c r="A1368" s="248"/>
      <c r="B1368" s="214"/>
      <c r="C1368" s="207"/>
      <c r="D1368" s="232"/>
      <c r="E1368" s="232"/>
      <c r="F1368" s="209"/>
      <c r="G1368" s="209"/>
      <c r="H1368" s="209"/>
      <c r="I1368" s="209"/>
      <c r="J1368" s="209"/>
      <c r="K1368" s="209"/>
      <c r="L1368" s="209"/>
      <c r="M1368" s="207"/>
      <c r="N1368" s="209"/>
      <c r="O1368" s="209"/>
      <c r="P1368" s="209"/>
      <c r="Q1368" s="209"/>
      <c r="R1368" s="209"/>
      <c r="S1368" s="210"/>
    </row>
    <row r="1369" spans="1:19" s="14" customFormat="1" ht="57" x14ac:dyDescent="0.7">
      <c r="A1369" s="248"/>
      <c r="B1369" s="214"/>
      <c r="C1369" s="207"/>
      <c r="D1369" s="232"/>
      <c r="E1369" s="232"/>
      <c r="F1369" s="209"/>
      <c r="G1369" s="209"/>
      <c r="H1369" s="209"/>
      <c r="I1369" s="209"/>
      <c r="J1369" s="209"/>
      <c r="K1369" s="209"/>
      <c r="L1369" s="209"/>
      <c r="M1369" s="207"/>
      <c r="N1369" s="209"/>
      <c r="O1369" s="209"/>
      <c r="P1369" s="209"/>
      <c r="Q1369" s="209"/>
      <c r="R1369" s="209"/>
      <c r="S1369" s="210"/>
    </row>
    <row r="1370" spans="1:19" s="14" customFormat="1" ht="57" x14ac:dyDescent="0.7">
      <c r="A1370" s="248"/>
      <c r="B1370" s="214"/>
      <c r="C1370" s="207"/>
      <c r="D1370" s="232"/>
      <c r="E1370" s="232"/>
      <c r="F1370" s="209"/>
      <c r="G1370" s="209"/>
      <c r="H1370" s="209"/>
      <c r="I1370" s="209"/>
      <c r="J1370" s="209"/>
      <c r="K1370" s="209"/>
      <c r="L1370" s="209"/>
      <c r="M1370" s="207"/>
      <c r="N1370" s="209"/>
      <c r="O1370" s="209"/>
      <c r="P1370" s="209"/>
      <c r="Q1370" s="209"/>
      <c r="R1370" s="209"/>
      <c r="S1370" s="210"/>
    </row>
    <row r="1371" spans="1:19" s="14" customFormat="1" ht="57" x14ac:dyDescent="0.7">
      <c r="A1371" s="248"/>
      <c r="B1371" s="214"/>
      <c r="C1371" s="207"/>
      <c r="D1371" s="232"/>
      <c r="E1371" s="232"/>
      <c r="F1371" s="209"/>
      <c r="G1371" s="209"/>
      <c r="H1371" s="209"/>
      <c r="I1371" s="209"/>
      <c r="J1371" s="209"/>
      <c r="K1371" s="209"/>
      <c r="L1371" s="209"/>
      <c r="M1371" s="207"/>
      <c r="N1371" s="209"/>
      <c r="O1371" s="209"/>
      <c r="P1371" s="209"/>
      <c r="Q1371" s="209"/>
      <c r="R1371" s="209"/>
      <c r="S1371" s="210"/>
    </row>
    <row r="1372" spans="1:19" s="14" customFormat="1" ht="57" x14ac:dyDescent="0.7">
      <c r="A1372" s="248"/>
      <c r="B1372" s="214"/>
      <c r="C1372" s="207"/>
      <c r="D1372" s="232"/>
      <c r="E1372" s="232"/>
      <c r="F1372" s="209"/>
      <c r="G1372" s="209"/>
      <c r="H1372" s="209"/>
      <c r="I1372" s="209"/>
      <c r="J1372" s="209"/>
      <c r="K1372" s="209"/>
      <c r="L1372" s="209"/>
      <c r="M1372" s="207"/>
      <c r="N1372" s="209"/>
      <c r="O1372" s="209"/>
      <c r="P1372" s="209"/>
      <c r="Q1372" s="209"/>
      <c r="R1372" s="209"/>
      <c r="S1372" s="210"/>
    </row>
    <row r="1373" spans="1:19" s="14" customFormat="1" ht="57" x14ac:dyDescent="0.7">
      <c r="A1373" s="248"/>
      <c r="B1373" s="214"/>
      <c r="C1373" s="207"/>
      <c r="D1373" s="232"/>
      <c r="E1373" s="232"/>
      <c r="F1373" s="209"/>
      <c r="G1373" s="209"/>
      <c r="H1373" s="209"/>
      <c r="I1373" s="209"/>
      <c r="J1373" s="209"/>
      <c r="K1373" s="209"/>
      <c r="L1373" s="209"/>
      <c r="M1373" s="207"/>
      <c r="N1373" s="209"/>
      <c r="O1373" s="209"/>
      <c r="P1373" s="209"/>
      <c r="Q1373" s="209"/>
      <c r="R1373" s="209"/>
      <c r="S1373" s="210"/>
    </row>
    <row r="1374" spans="1:19" s="14" customFormat="1" ht="57" x14ac:dyDescent="0.7">
      <c r="A1374" s="248"/>
      <c r="B1374" s="214"/>
      <c r="C1374" s="207"/>
      <c r="D1374" s="232"/>
      <c r="E1374" s="232"/>
      <c r="F1374" s="209"/>
      <c r="G1374" s="209"/>
      <c r="H1374" s="209"/>
      <c r="I1374" s="209"/>
      <c r="J1374" s="209"/>
      <c r="K1374" s="209"/>
      <c r="L1374" s="209"/>
      <c r="M1374" s="207"/>
      <c r="N1374" s="209"/>
      <c r="O1374" s="209"/>
      <c r="P1374" s="209"/>
      <c r="Q1374" s="209"/>
      <c r="R1374" s="209"/>
      <c r="S1374" s="210"/>
    </row>
    <row r="1375" spans="1:19" s="14" customFormat="1" ht="57" x14ac:dyDescent="0.7">
      <c r="A1375" s="248"/>
      <c r="B1375" s="214"/>
      <c r="C1375" s="207"/>
      <c r="D1375" s="232"/>
      <c r="E1375" s="232"/>
      <c r="F1375" s="209"/>
      <c r="G1375" s="209"/>
      <c r="H1375" s="209"/>
      <c r="I1375" s="209"/>
      <c r="J1375" s="209"/>
      <c r="K1375" s="209"/>
      <c r="L1375" s="209"/>
      <c r="M1375" s="207"/>
      <c r="N1375" s="209"/>
      <c r="O1375" s="209"/>
      <c r="P1375" s="209"/>
      <c r="Q1375" s="209"/>
      <c r="R1375" s="209"/>
      <c r="S1375" s="210"/>
    </row>
    <row r="1376" spans="1:19" s="14" customFormat="1" ht="57" x14ac:dyDescent="0.7">
      <c r="A1376" s="248"/>
      <c r="B1376" s="214"/>
      <c r="C1376" s="207"/>
      <c r="D1376" s="232"/>
      <c r="E1376" s="232"/>
      <c r="F1376" s="209"/>
      <c r="G1376" s="209"/>
      <c r="H1376" s="209"/>
      <c r="I1376" s="209"/>
      <c r="J1376" s="209"/>
      <c r="K1376" s="209"/>
      <c r="L1376" s="209"/>
      <c r="M1376" s="207"/>
      <c r="N1376" s="209"/>
      <c r="O1376" s="209"/>
      <c r="P1376" s="209"/>
      <c r="Q1376" s="209"/>
      <c r="R1376" s="209"/>
      <c r="S1376" s="210"/>
    </row>
    <row r="1377" spans="1:19" s="14" customFormat="1" ht="57" x14ac:dyDescent="0.7">
      <c r="A1377" s="248"/>
      <c r="B1377" s="214"/>
      <c r="C1377" s="207"/>
      <c r="D1377" s="232"/>
      <c r="E1377" s="232"/>
      <c r="F1377" s="209"/>
      <c r="G1377" s="209"/>
      <c r="H1377" s="209"/>
      <c r="I1377" s="209"/>
      <c r="J1377" s="209"/>
      <c r="K1377" s="209"/>
      <c r="L1377" s="209"/>
      <c r="M1377" s="207"/>
      <c r="N1377" s="209"/>
      <c r="O1377" s="209"/>
      <c r="P1377" s="209"/>
      <c r="Q1377" s="209"/>
      <c r="R1377" s="209"/>
      <c r="S1377" s="210"/>
    </row>
    <row r="1378" spans="1:19" s="14" customFormat="1" ht="57" x14ac:dyDescent="0.7">
      <c r="A1378" s="248"/>
      <c r="B1378" s="214"/>
      <c r="C1378" s="207"/>
      <c r="D1378" s="232"/>
      <c r="E1378" s="232"/>
      <c r="F1378" s="209"/>
      <c r="G1378" s="209"/>
      <c r="H1378" s="209"/>
      <c r="I1378" s="209"/>
      <c r="J1378" s="209"/>
      <c r="K1378" s="209"/>
      <c r="L1378" s="209"/>
      <c r="M1378" s="207"/>
      <c r="N1378" s="209"/>
      <c r="O1378" s="209"/>
      <c r="P1378" s="209"/>
      <c r="Q1378" s="209"/>
      <c r="R1378" s="209"/>
      <c r="S1378" s="210"/>
    </row>
    <row r="1379" spans="1:19" s="14" customFormat="1" ht="57" x14ac:dyDescent="0.7">
      <c r="A1379" s="248"/>
      <c r="B1379" s="214"/>
      <c r="C1379" s="207"/>
      <c r="D1379" s="232"/>
      <c r="E1379" s="232"/>
      <c r="F1379" s="209"/>
      <c r="G1379" s="209"/>
      <c r="H1379" s="209"/>
      <c r="I1379" s="209"/>
      <c r="J1379" s="209"/>
      <c r="K1379" s="209"/>
      <c r="L1379" s="209"/>
      <c r="M1379" s="207"/>
      <c r="N1379" s="209"/>
      <c r="O1379" s="209"/>
      <c r="P1379" s="209"/>
      <c r="Q1379" s="209"/>
      <c r="R1379" s="209"/>
      <c r="S1379" s="210"/>
    </row>
    <row r="1380" spans="1:19" s="14" customFormat="1" ht="57" x14ac:dyDescent="0.7">
      <c r="A1380" s="248"/>
      <c r="B1380" s="214"/>
      <c r="C1380" s="207"/>
      <c r="D1380" s="232"/>
      <c r="E1380" s="232"/>
      <c r="F1380" s="209"/>
      <c r="G1380" s="209"/>
      <c r="H1380" s="209"/>
      <c r="I1380" s="209"/>
      <c r="J1380" s="209"/>
      <c r="K1380" s="209"/>
      <c r="L1380" s="209"/>
      <c r="M1380" s="207"/>
      <c r="N1380" s="209"/>
      <c r="O1380" s="209"/>
      <c r="P1380" s="209"/>
      <c r="Q1380" s="209"/>
      <c r="R1380" s="209"/>
      <c r="S1380" s="210"/>
    </row>
    <row r="1381" spans="1:19" s="14" customFormat="1" ht="57" x14ac:dyDescent="0.7">
      <c r="A1381" s="248"/>
      <c r="B1381" s="214"/>
      <c r="C1381" s="207"/>
      <c r="D1381" s="232"/>
      <c r="E1381" s="232"/>
      <c r="F1381" s="209"/>
      <c r="G1381" s="209"/>
      <c r="H1381" s="209"/>
      <c r="I1381" s="209"/>
      <c r="J1381" s="209"/>
      <c r="K1381" s="209"/>
      <c r="L1381" s="209"/>
      <c r="M1381" s="207"/>
      <c r="N1381" s="209"/>
      <c r="O1381" s="209"/>
      <c r="P1381" s="209"/>
      <c r="Q1381" s="209"/>
      <c r="R1381" s="209"/>
      <c r="S1381" s="210"/>
    </row>
    <row r="1382" spans="1:19" s="14" customFormat="1" ht="57" x14ac:dyDescent="0.7">
      <c r="A1382" s="248"/>
      <c r="B1382" s="214"/>
      <c r="C1382" s="207"/>
      <c r="D1382" s="232"/>
      <c r="E1382" s="232"/>
      <c r="F1382" s="209"/>
      <c r="G1382" s="209"/>
      <c r="H1382" s="209"/>
      <c r="I1382" s="209"/>
      <c r="J1382" s="209"/>
      <c r="K1382" s="209"/>
      <c r="L1382" s="209"/>
      <c r="M1382" s="207"/>
      <c r="N1382" s="209"/>
      <c r="O1382" s="209"/>
      <c r="P1382" s="209"/>
      <c r="Q1382" s="209"/>
      <c r="R1382" s="209"/>
      <c r="S1382" s="210"/>
    </row>
    <row r="1383" spans="1:19" s="14" customFormat="1" ht="57" x14ac:dyDescent="0.7">
      <c r="A1383" s="248"/>
      <c r="B1383" s="214"/>
      <c r="C1383" s="207"/>
      <c r="D1383" s="232"/>
      <c r="E1383" s="232"/>
      <c r="F1383" s="209"/>
      <c r="G1383" s="209"/>
      <c r="H1383" s="209"/>
      <c r="I1383" s="209"/>
      <c r="J1383" s="209"/>
      <c r="K1383" s="209"/>
      <c r="L1383" s="209"/>
      <c r="M1383" s="207"/>
      <c r="N1383" s="209"/>
      <c r="O1383" s="209"/>
      <c r="P1383" s="209"/>
      <c r="Q1383" s="209"/>
      <c r="R1383" s="209"/>
      <c r="S1383" s="210"/>
    </row>
    <row r="1384" spans="1:19" s="14" customFormat="1" ht="57" x14ac:dyDescent="0.7">
      <c r="A1384" s="248"/>
      <c r="B1384" s="214"/>
      <c r="C1384" s="207"/>
      <c r="D1384" s="232"/>
      <c r="E1384" s="232"/>
      <c r="F1384" s="209"/>
      <c r="G1384" s="209"/>
      <c r="H1384" s="209"/>
      <c r="I1384" s="209"/>
      <c r="J1384" s="209"/>
      <c r="K1384" s="209"/>
      <c r="L1384" s="209"/>
      <c r="M1384" s="207"/>
      <c r="N1384" s="209"/>
      <c r="O1384" s="209"/>
      <c r="P1384" s="209"/>
      <c r="Q1384" s="209"/>
      <c r="R1384" s="209"/>
      <c r="S1384" s="210"/>
    </row>
    <row r="1385" spans="1:19" s="14" customFormat="1" ht="57" x14ac:dyDescent="0.7">
      <c r="A1385" s="248"/>
      <c r="B1385" s="214"/>
      <c r="C1385" s="207"/>
      <c r="D1385" s="232"/>
      <c r="E1385" s="232"/>
      <c r="F1385" s="209"/>
      <c r="G1385" s="209"/>
      <c r="H1385" s="209"/>
      <c r="I1385" s="209"/>
      <c r="J1385" s="209"/>
      <c r="K1385" s="209"/>
      <c r="L1385" s="209"/>
      <c r="M1385" s="207"/>
      <c r="N1385" s="209"/>
      <c r="O1385" s="209"/>
      <c r="P1385" s="209"/>
      <c r="Q1385" s="209"/>
      <c r="R1385" s="209"/>
      <c r="S1385" s="210"/>
    </row>
    <row r="1386" spans="1:19" s="14" customFormat="1" ht="57" x14ac:dyDescent="0.7">
      <c r="A1386" s="248"/>
      <c r="B1386" s="214"/>
      <c r="C1386" s="207"/>
      <c r="D1386" s="232"/>
      <c r="E1386" s="232"/>
      <c r="F1386" s="209"/>
      <c r="G1386" s="209"/>
      <c r="H1386" s="209"/>
      <c r="I1386" s="209"/>
      <c r="J1386" s="209"/>
      <c r="K1386" s="209"/>
      <c r="L1386" s="209"/>
      <c r="M1386" s="207"/>
      <c r="N1386" s="209"/>
      <c r="O1386" s="209"/>
      <c r="P1386" s="209"/>
      <c r="Q1386" s="209"/>
      <c r="R1386" s="209"/>
      <c r="S1386" s="210"/>
    </row>
    <row r="1387" spans="1:19" s="14" customFormat="1" ht="57" x14ac:dyDescent="0.7">
      <c r="A1387" s="248"/>
      <c r="B1387" s="214"/>
      <c r="C1387" s="207"/>
      <c r="D1387" s="232"/>
      <c r="E1387" s="232"/>
      <c r="F1387" s="209"/>
      <c r="G1387" s="209"/>
      <c r="H1387" s="209"/>
      <c r="I1387" s="209"/>
      <c r="J1387" s="209"/>
      <c r="K1387" s="209"/>
      <c r="L1387" s="209"/>
      <c r="M1387" s="207"/>
      <c r="N1387" s="209"/>
      <c r="O1387" s="209"/>
      <c r="P1387" s="209"/>
      <c r="Q1387" s="209"/>
      <c r="R1387" s="209"/>
      <c r="S1387" s="210"/>
    </row>
    <row r="1388" spans="1:19" s="14" customFormat="1" ht="57" x14ac:dyDescent="0.7">
      <c r="A1388" s="248"/>
      <c r="B1388" s="214"/>
      <c r="C1388" s="207"/>
      <c r="D1388" s="232"/>
      <c r="E1388" s="232"/>
      <c r="F1388" s="209"/>
      <c r="G1388" s="209"/>
      <c r="H1388" s="209"/>
      <c r="I1388" s="209"/>
      <c r="J1388" s="209"/>
      <c r="K1388" s="209"/>
      <c r="L1388" s="209"/>
      <c r="M1388" s="207"/>
      <c r="N1388" s="209"/>
      <c r="O1388" s="209"/>
      <c r="P1388" s="209"/>
      <c r="Q1388" s="209"/>
      <c r="R1388" s="209"/>
      <c r="S1388" s="210"/>
    </row>
    <row r="1389" spans="1:19" s="14" customFormat="1" ht="57" x14ac:dyDescent="0.7">
      <c r="A1389" s="248"/>
      <c r="B1389" s="214"/>
      <c r="C1389" s="207"/>
      <c r="D1389" s="232"/>
      <c r="E1389" s="232"/>
      <c r="F1389" s="209"/>
      <c r="G1389" s="209"/>
      <c r="H1389" s="209"/>
      <c r="I1389" s="209"/>
      <c r="J1389" s="209"/>
      <c r="K1389" s="209"/>
      <c r="L1389" s="209"/>
      <c r="M1389" s="207"/>
      <c r="N1389" s="209"/>
      <c r="O1389" s="209"/>
      <c r="P1389" s="209"/>
      <c r="Q1389" s="209"/>
      <c r="R1389" s="209"/>
      <c r="S1389" s="210"/>
    </row>
    <row r="1390" spans="1:19" s="14" customFormat="1" ht="57" x14ac:dyDescent="0.7">
      <c r="A1390" s="248"/>
      <c r="B1390" s="214"/>
      <c r="C1390" s="207"/>
      <c r="D1390" s="232"/>
      <c r="E1390" s="232"/>
      <c r="F1390" s="209"/>
      <c r="G1390" s="209"/>
      <c r="H1390" s="209"/>
      <c r="I1390" s="209"/>
      <c r="J1390" s="209"/>
      <c r="K1390" s="209"/>
      <c r="L1390" s="209"/>
      <c r="M1390" s="207"/>
      <c r="N1390" s="209"/>
      <c r="O1390" s="209"/>
      <c r="P1390" s="209"/>
      <c r="Q1390" s="209"/>
      <c r="R1390" s="209"/>
      <c r="S1390" s="210"/>
    </row>
    <row r="1391" spans="1:19" s="14" customFormat="1" ht="57" x14ac:dyDescent="0.7">
      <c r="A1391" s="248"/>
      <c r="B1391" s="214"/>
      <c r="C1391" s="207"/>
      <c r="D1391" s="232"/>
      <c r="E1391" s="232"/>
      <c r="F1391" s="209"/>
      <c r="G1391" s="209"/>
      <c r="H1391" s="209"/>
      <c r="I1391" s="209"/>
      <c r="J1391" s="209"/>
      <c r="K1391" s="209"/>
      <c r="L1391" s="209"/>
      <c r="M1391" s="207"/>
      <c r="N1391" s="209"/>
      <c r="O1391" s="209"/>
      <c r="P1391" s="209"/>
      <c r="Q1391" s="209"/>
      <c r="R1391" s="209"/>
      <c r="S1391" s="210"/>
    </row>
    <row r="1392" spans="1:19" s="14" customFormat="1" ht="57" x14ac:dyDescent="0.7">
      <c r="A1392" s="248"/>
      <c r="B1392" s="214"/>
      <c r="C1392" s="207"/>
      <c r="D1392" s="232"/>
      <c r="E1392" s="232"/>
      <c r="F1392" s="209"/>
      <c r="G1392" s="209"/>
      <c r="H1392" s="209"/>
      <c r="I1392" s="209"/>
      <c r="J1392" s="209"/>
      <c r="K1392" s="209"/>
      <c r="L1392" s="209"/>
      <c r="M1392" s="207"/>
      <c r="N1392" s="209"/>
      <c r="O1392" s="209"/>
      <c r="P1392" s="209"/>
      <c r="Q1392" s="209"/>
      <c r="R1392" s="209"/>
      <c r="S1392" s="210"/>
    </row>
    <row r="1393" spans="1:19" s="14" customFormat="1" ht="57" x14ac:dyDescent="0.7">
      <c r="A1393" s="248"/>
      <c r="B1393" s="214"/>
      <c r="C1393" s="207"/>
      <c r="D1393" s="232"/>
      <c r="E1393" s="232"/>
      <c r="F1393" s="209"/>
      <c r="G1393" s="209"/>
      <c r="H1393" s="209"/>
      <c r="I1393" s="209"/>
      <c r="J1393" s="209"/>
      <c r="K1393" s="209"/>
      <c r="L1393" s="209"/>
      <c r="M1393" s="207"/>
      <c r="N1393" s="209"/>
      <c r="O1393" s="209"/>
      <c r="P1393" s="209"/>
      <c r="Q1393" s="209"/>
      <c r="R1393" s="209"/>
      <c r="S1393" s="210"/>
    </row>
    <row r="1394" spans="1:19" s="14" customFormat="1" ht="57" x14ac:dyDescent="0.7">
      <c r="A1394" s="248"/>
      <c r="B1394" s="214"/>
      <c r="C1394" s="207"/>
      <c r="D1394" s="232"/>
      <c r="E1394" s="232"/>
      <c r="F1394" s="209"/>
      <c r="G1394" s="209"/>
      <c r="H1394" s="209"/>
      <c r="I1394" s="209"/>
      <c r="J1394" s="209"/>
      <c r="K1394" s="209"/>
      <c r="L1394" s="209"/>
      <c r="M1394" s="207"/>
      <c r="N1394" s="209"/>
      <c r="O1394" s="209"/>
      <c r="P1394" s="209"/>
      <c r="Q1394" s="209"/>
      <c r="R1394" s="209"/>
      <c r="S1394" s="210"/>
    </row>
    <row r="1395" spans="1:19" s="14" customFormat="1" ht="57" x14ac:dyDescent="0.7">
      <c r="A1395" s="248"/>
      <c r="B1395" s="214"/>
      <c r="C1395" s="207"/>
      <c r="D1395" s="232"/>
      <c r="E1395" s="232"/>
      <c r="F1395" s="209"/>
      <c r="G1395" s="209"/>
      <c r="H1395" s="209"/>
      <c r="I1395" s="209"/>
      <c r="J1395" s="209"/>
      <c r="K1395" s="209"/>
      <c r="L1395" s="209"/>
      <c r="M1395" s="207"/>
      <c r="N1395" s="209"/>
      <c r="O1395" s="209"/>
      <c r="P1395" s="209"/>
      <c r="Q1395" s="209"/>
      <c r="R1395" s="209"/>
      <c r="S1395" s="210"/>
    </row>
    <row r="1396" spans="1:19" s="14" customFormat="1" ht="57" x14ac:dyDescent="0.7">
      <c r="A1396" s="248"/>
      <c r="B1396" s="214"/>
      <c r="C1396" s="207"/>
      <c r="D1396" s="232"/>
      <c r="E1396" s="232"/>
      <c r="F1396" s="209"/>
      <c r="G1396" s="209"/>
      <c r="H1396" s="209"/>
      <c r="I1396" s="209"/>
      <c r="J1396" s="209"/>
      <c r="K1396" s="209"/>
      <c r="L1396" s="209"/>
      <c r="M1396" s="207"/>
      <c r="N1396" s="209"/>
      <c r="O1396" s="209"/>
      <c r="P1396" s="209"/>
      <c r="Q1396" s="209"/>
      <c r="R1396" s="209"/>
      <c r="S1396" s="210"/>
    </row>
    <row r="1397" spans="1:19" s="14" customFormat="1" ht="57" x14ac:dyDescent="0.7">
      <c r="A1397" s="248"/>
      <c r="B1397" s="214"/>
      <c r="C1397" s="207"/>
      <c r="D1397" s="232"/>
      <c r="E1397" s="232"/>
      <c r="F1397" s="209"/>
      <c r="G1397" s="209"/>
      <c r="H1397" s="209"/>
      <c r="I1397" s="209"/>
      <c r="J1397" s="209"/>
      <c r="K1397" s="209"/>
      <c r="L1397" s="209"/>
      <c r="M1397" s="207"/>
      <c r="N1397" s="209"/>
      <c r="O1397" s="209"/>
      <c r="P1397" s="209"/>
      <c r="Q1397" s="209"/>
      <c r="R1397" s="209"/>
      <c r="S1397" s="210"/>
    </row>
    <row r="1398" spans="1:19" s="14" customFormat="1" ht="57" x14ac:dyDescent="0.7">
      <c r="A1398" s="248"/>
      <c r="B1398" s="214"/>
      <c r="C1398" s="207"/>
      <c r="D1398" s="232"/>
      <c r="E1398" s="232"/>
      <c r="F1398" s="209"/>
      <c r="G1398" s="209"/>
      <c r="H1398" s="209"/>
      <c r="I1398" s="209"/>
      <c r="J1398" s="209"/>
      <c r="K1398" s="209"/>
      <c r="L1398" s="209"/>
      <c r="M1398" s="207"/>
      <c r="N1398" s="209"/>
      <c r="O1398" s="209"/>
      <c r="P1398" s="209"/>
      <c r="Q1398" s="209"/>
      <c r="R1398" s="209"/>
      <c r="S1398" s="210"/>
    </row>
    <row r="1399" spans="1:19" s="14" customFormat="1" ht="57" x14ac:dyDescent="0.7">
      <c r="A1399" s="248"/>
      <c r="B1399" s="214"/>
      <c r="C1399" s="207"/>
      <c r="D1399" s="232"/>
      <c r="E1399" s="232"/>
      <c r="F1399" s="209"/>
      <c r="G1399" s="209"/>
      <c r="H1399" s="209"/>
      <c r="I1399" s="209"/>
      <c r="J1399" s="209"/>
      <c r="K1399" s="209"/>
      <c r="L1399" s="209"/>
      <c r="M1399" s="207"/>
      <c r="N1399" s="209"/>
      <c r="O1399" s="209"/>
      <c r="P1399" s="209"/>
      <c r="Q1399" s="209"/>
      <c r="R1399" s="209"/>
      <c r="S1399" s="210"/>
    </row>
    <row r="1400" spans="1:19" s="14" customFormat="1" ht="57" x14ac:dyDescent="0.7">
      <c r="A1400" s="248"/>
      <c r="B1400" s="214"/>
      <c r="C1400" s="207"/>
      <c r="D1400" s="232"/>
      <c r="E1400" s="232"/>
      <c r="F1400" s="209"/>
      <c r="G1400" s="209"/>
      <c r="H1400" s="209"/>
      <c r="I1400" s="209"/>
      <c r="J1400" s="209"/>
      <c r="K1400" s="209"/>
      <c r="L1400" s="209"/>
      <c r="M1400" s="207"/>
      <c r="N1400" s="209"/>
      <c r="O1400" s="209"/>
      <c r="P1400" s="209"/>
      <c r="Q1400" s="209"/>
      <c r="R1400" s="209"/>
      <c r="S1400" s="210"/>
    </row>
    <row r="1401" spans="1:19" s="14" customFormat="1" ht="57" x14ac:dyDescent="0.7">
      <c r="A1401" s="248"/>
      <c r="B1401" s="214"/>
      <c r="C1401" s="207"/>
      <c r="D1401" s="232"/>
      <c r="E1401" s="232"/>
      <c r="F1401" s="209"/>
      <c r="G1401" s="209"/>
      <c r="H1401" s="209"/>
      <c r="I1401" s="209"/>
      <c r="J1401" s="209"/>
      <c r="K1401" s="209"/>
      <c r="L1401" s="209"/>
      <c r="M1401" s="207"/>
      <c r="N1401" s="209"/>
      <c r="O1401" s="209"/>
      <c r="P1401" s="209"/>
      <c r="Q1401" s="209"/>
      <c r="R1401" s="209"/>
      <c r="S1401" s="210"/>
    </row>
    <row r="1402" spans="1:19" s="14" customFormat="1" ht="57" x14ac:dyDescent="0.7">
      <c r="A1402" s="248"/>
      <c r="B1402" s="214"/>
      <c r="C1402" s="207"/>
      <c r="D1402" s="232"/>
      <c r="E1402" s="232"/>
      <c r="F1402" s="209"/>
      <c r="G1402" s="209"/>
      <c r="H1402" s="209"/>
      <c r="I1402" s="209"/>
      <c r="J1402" s="209"/>
      <c r="K1402" s="209"/>
      <c r="L1402" s="209"/>
      <c r="M1402" s="207"/>
      <c r="N1402" s="209"/>
      <c r="O1402" s="209"/>
      <c r="P1402" s="209"/>
      <c r="Q1402" s="209"/>
      <c r="R1402" s="209"/>
      <c r="S1402" s="210"/>
    </row>
    <row r="1403" spans="1:19" s="14" customFormat="1" ht="57" x14ac:dyDescent="0.7">
      <c r="A1403" s="248"/>
      <c r="B1403" s="214"/>
      <c r="C1403" s="207"/>
      <c r="D1403" s="232"/>
      <c r="E1403" s="232"/>
      <c r="F1403" s="209"/>
      <c r="G1403" s="209"/>
      <c r="H1403" s="209"/>
      <c r="I1403" s="209"/>
      <c r="J1403" s="209"/>
      <c r="K1403" s="209"/>
      <c r="L1403" s="209"/>
      <c r="M1403" s="207"/>
      <c r="N1403" s="209"/>
      <c r="O1403" s="209"/>
      <c r="P1403" s="209"/>
      <c r="Q1403" s="209"/>
      <c r="R1403" s="209"/>
      <c r="S1403" s="210"/>
    </row>
    <row r="1404" spans="1:19" s="14" customFormat="1" ht="57" x14ac:dyDescent="0.7">
      <c r="A1404" s="248"/>
      <c r="B1404" s="214"/>
      <c r="C1404" s="207"/>
      <c r="D1404" s="232"/>
      <c r="E1404" s="232"/>
      <c r="F1404" s="209"/>
      <c r="G1404" s="209"/>
      <c r="H1404" s="209"/>
      <c r="I1404" s="209"/>
      <c r="J1404" s="209"/>
      <c r="K1404" s="209"/>
      <c r="L1404" s="209"/>
      <c r="M1404" s="207"/>
      <c r="N1404" s="209"/>
      <c r="O1404" s="209"/>
      <c r="P1404" s="209"/>
      <c r="Q1404" s="209"/>
      <c r="R1404" s="209"/>
      <c r="S1404" s="210"/>
    </row>
    <row r="1405" spans="1:19" s="14" customFormat="1" ht="57" x14ac:dyDescent="0.7">
      <c r="A1405" s="248"/>
      <c r="B1405" s="214"/>
      <c r="C1405" s="207"/>
      <c r="D1405" s="232"/>
      <c r="E1405" s="232"/>
      <c r="F1405" s="209"/>
      <c r="G1405" s="209"/>
      <c r="H1405" s="209"/>
      <c r="I1405" s="209"/>
      <c r="J1405" s="209"/>
      <c r="K1405" s="209"/>
      <c r="L1405" s="209"/>
      <c r="M1405" s="207"/>
      <c r="N1405" s="209"/>
      <c r="O1405" s="209"/>
      <c r="P1405" s="209"/>
      <c r="Q1405" s="209"/>
      <c r="R1405" s="209"/>
      <c r="S1405" s="210"/>
    </row>
    <row r="1406" spans="1:19" s="14" customFormat="1" ht="57" x14ac:dyDescent="0.7">
      <c r="A1406" s="248"/>
      <c r="B1406" s="214"/>
      <c r="C1406" s="207"/>
      <c r="D1406" s="232"/>
      <c r="E1406" s="232"/>
      <c r="F1406" s="209"/>
      <c r="G1406" s="209"/>
      <c r="H1406" s="209"/>
      <c r="I1406" s="209"/>
      <c r="J1406" s="209"/>
      <c r="K1406" s="209"/>
      <c r="L1406" s="209"/>
      <c r="M1406" s="207"/>
      <c r="N1406" s="209"/>
      <c r="O1406" s="209"/>
      <c r="P1406" s="209"/>
      <c r="Q1406" s="209"/>
      <c r="R1406" s="209"/>
      <c r="S1406" s="210"/>
    </row>
    <row r="1407" spans="1:19" s="14" customFormat="1" ht="57" x14ac:dyDescent="0.7">
      <c r="A1407" s="248"/>
      <c r="B1407" s="214"/>
      <c r="C1407" s="207"/>
      <c r="D1407" s="232"/>
      <c r="E1407" s="232"/>
      <c r="F1407" s="209"/>
      <c r="G1407" s="209"/>
      <c r="H1407" s="209"/>
      <c r="I1407" s="209"/>
      <c r="J1407" s="209"/>
      <c r="K1407" s="209"/>
      <c r="L1407" s="209"/>
      <c r="M1407" s="207"/>
      <c r="N1407" s="209"/>
      <c r="O1407" s="209"/>
      <c r="P1407" s="209"/>
      <c r="Q1407" s="209"/>
      <c r="R1407" s="209"/>
      <c r="S1407" s="210"/>
    </row>
    <row r="1408" spans="1:19" s="14" customFormat="1" ht="57" x14ac:dyDescent="0.7">
      <c r="A1408" s="248"/>
      <c r="B1408" s="214"/>
      <c r="C1408" s="207"/>
      <c r="D1408" s="232"/>
      <c r="E1408" s="232"/>
      <c r="F1408" s="209"/>
      <c r="G1408" s="209"/>
      <c r="H1408" s="209"/>
      <c r="I1408" s="209"/>
      <c r="J1408" s="209"/>
      <c r="K1408" s="209"/>
      <c r="L1408" s="209"/>
      <c r="M1408" s="207"/>
      <c r="N1408" s="209"/>
      <c r="O1408" s="209"/>
      <c r="P1408" s="209"/>
      <c r="Q1408" s="209"/>
      <c r="R1408" s="209"/>
      <c r="S1408" s="210"/>
    </row>
    <row r="1409" spans="1:19" s="14" customFormat="1" ht="57" x14ac:dyDescent="0.7">
      <c r="A1409" s="248"/>
      <c r="B1409" s="214"/>
      <c r="C1409" s="207"/>
      <c r="D1409" s="232"/>
      <c r="E1409" s="232"/>
      <c r="F1409" s="209"/>
      <c r="G1409" s="209"/>
      <c r="H1409" s="209"/>
      <c r="I1409" s="209"/>
      <c r="J1409" s="209"/>
      <c r="K1409" s="209"/>
      <c r="L1409" s="209"/>
      <c r="M1409" s="207"/>
      <c r="N1409" s="209"/>
      <c r="O1409" s="209"/>
      <c r="P1409" s="209"/>
      <c r="Q1409" s="209"/>
      <c r="R1409" s="209"/>
      <c r="S1409" s="210"/>
    </row>
    <row r="1410" spans="1:19" s="14" customFormat="1" ht="57" x14ac:dyDescent="0.7">
      <c r="A1410" s="248"/>
      <c r="B1410" s="214"/>
      <c r="C1410" s="207"/>
      <c r="D1410" s="232"/>
      <c r="E1410" s="232"/>
      <c r="F1410" s="209"/>
      <c r="G1410" s="209"/>
      <c r="H1410" s="209"/>
      <c r="I1410" s="209"/>
      <c r="J1410" s="209"/>
      <c r="K1410" s="209"/>
      <c r="L1410" s="209"/>
      <c r="M1410" s="207"/>
      <c r="N1410" s="209"/>
      <c r="O1410" s="209"/>
      <c r="P1410" s="209"/>
      <c r="Q1410" s="209"/>
      <c r="R1410" s="209"/>
      <c r="S1410" s="210"/>
    </row>
    <row r="1411" spans="1:19" s="14" customFormat="1" ht="57" x14ac:dyDescent="0.7">
      <c r="A1411" s="248"/>
      <c r="B1411" s="214"/>
      <c r="C1411" s="207"/>
      <c r="D1411" s="232"/>
      <c r="E1411" s="232"/>
      <c r="F1411" s="209"/>
      <c r="G1411" s="209"/>
      <c r="H1411" s="209"/>
      <c r="I1411" s="209"/>
      <c r="J1411" s="209"/>
      <c r="K1411" s="209"/>
      <c r="L1411" s="209"/>
      <c r="M1411" s="207"/>
      <c r="N1411" s="209"/>
      <c r="O1411" s="209"/>
      <c r="P1411" s="209"/>
      <c r="Q1411" s="209"/>
      <c r="R1411" s="209"/>
      <c r="S1411" s="210"/>
    </row>
    <row r="1412" spans="1:19" s="14" customFormat="1" ht="57" x14ac:dyDescent="0.7">
      <c r="A1412" s="248"/>
      <c r="B1412" s="214"/>
      <c r="C1412" s="207"/>
      <c r="D1412" s="232"/>
      <c r="E1412" s="232"/>
      <c r="F1412" s="209"/>
      <c r="G1412" s="209"/>
      <c r="H1412" s="209"/>
      <c r="I1412" s="209"/>
      <c r="J1412" s="209"/>
      <c r="K1412" s="209"/>
      <c r="L1412" s="209"/>
      <c r="M1412" s="207"/>
      <c r="N1412" s="209"/>
      <c r="O1412" s="209"/>
      <c r="P1412" s="209"/>
      <c r="Q1412" s="209"/>
      <c r="R1412" s="209"/>
      <c r="S1412" s="210"/>
    </row>
    <row r="1413" spans="1:19" s="14" customFormat="1" ht="57" x14ac:dyDescent="0.7">
      <c r="A1413" s="248"/>
      <c r="B1413" s="214"/>
      <c r="C1413" s="207"/>
      <c r="D1413" s="232"/>
      <c r="E1413" s="232"/>
      <c r="F1413" s="209"/>
      <c r="G1413" s="209"/>
      <c r="H1413" s="209"/>
      <c r="I1413" s="209"/>
      <c r="J1413" s="209"/>
      <c r="K1413" s="209"/>
      <c r="L1413" s="209"/>
      <c r="M1413" s="207"/>
      <c r="N1413" s="209"/>
      <c r="O1413" s="209"/>
      <c r="P1413" s="209"/>
      <c r="Q1413" s="209"/>
      <c r="R1413" s="209"/>
      <c r="S1413" s="210"/>
    </row>
    <row r="1414" spans="1:19" s="14" customFormat="1" ht="57" x14ac:dyDescent="0.7">
      <c r="A1414" s="248"/>
      <c r="B1414" s="214"/>
      <c r="C1414" s="207"/>
      <c r="D1414" s="232"/>
      <c r="E1414" s="232"/>
      <c r="F1414" s="209"/>
      <c r="G1414" s="209"/>
      <c r="H1414" s="209"/>
      <c r="I1414" s="209"/>
      <c r="J1414" s="209"/>
      <c r="K1414" s="209"/>
      <c r="L1414" s="209"/>
      <c r="M1414" s="207"/>
      <c r="N1414" s="209"/>
      <c r="O1414" s="209"/>
      <c r="P1414" s="209"/>
      <c r="Q1414" s="209"/>
      <c r="R1414" s="209"/>
      <c r="S1414" s="210"/>
    </row>
    <row r="1415" spans="1:19" s="14" customFormat="1" ht="57" x14ac:dyDescent="0.7">
      <c r="A1415" s="248"/>
      <c r="B1415" s="214"/>
      <c r="C1415" s="207"/>
      <c r="D1415" s="232"/>
      <c r="E1415" s="232"/>
      <c r="F1415" s="209"/>
      <c r="G1415" s="209"/>
      <c r="H1415" s="209"/>
      <c r="I1415" s="209"/>
      <c r="J1415" s="209"/>
      <c r="K1415" s="209"/>
      <c r="L1415" s="209"/>
      <c r="M1415" s="207"/>
      <c r="N1415" s="209"/>
      <c r="O1415" s="209"/>
      <c r="P1415" s="209"/>
      <c r="Q1415" s="209"/>
      <c r="R1415" s="209"/>
      <c r="S1415" s="210"/>
    </row>
    <row r="1416" spans="1:19" s="14" customFormat="1" ht="57" x14ac:dyDescent="0.7">
      <c r="A1416" s="248"/>
      <c r="B1416" s="214"/>
      <c r="C1416" s="207"/>
      <c r="D1416" s="232"/>
      <c r="E1416" s="232"/>
      <c r="F1416" s="209"/>
      <c r="G1416" s="209"/>
      <c r="H1416" s="209"/>
      <c r="I1416" s="209"/>
      <c r="J1416" s="209"/>
      <c r="K1416" s="209"/>
      <c r="L1416" s="209"/>
      <c r="M1416" s="207"/>
      <c r="N1416" s="209"/>
      <c r="O1416" s="209"/>
      <c r="P1416" s="209"/>
      <c r="Q1416" s="209"/>
      <c r="R1416" s="209"/>
      <c r="S1416" s="210"/>
    </row>
    <row r="1417" spans="1:19" s="14" customFormat="1" ht="57" x14ac:dyDescent="0.7">
      <c r="A1417" s="248"/>
      <c r="B1417" s="214"/>
      <c r="C1417" s="207"/>
      <c r="D1417" s="232"/>
      <c r="E1417" s="232"/>
      <c r="F1417" s="209"/>
      <c r="G1417" s="209"/>
      <c r="H1417" s="209"/>
      <c r="I1417" s="209"/>
      <c r="J1417" s="209"/>
      <c r="K1417" s="209"/>
      <c r="L1417" s="209"/>
      <c r="M1417" s="207"/>
      <c r="N1417" s="209"/>
      <c r="O1417" s="209"/>
      <c r="P1417" s="209"/>
      <c r="Q1417" s="209"/>
      <c r="R1417" s="209"/>
      <c r="S1417" s="210"/>
    </row>
    <row r="1418" spans="1:19" s="14" customFormat="1" ht="57" x14ac:dyDescent="0.7">
      <c r="A1418" s="248"/>
      <c r="B1418" s="214"/>
      <c r="C1418" s="207"/>
      <c r="D1418" s="232"/>
      <c r="E1418" s="232"/>
      <c r="F1418" s="209"/>
      <c r="G1418" s="209"/>
      <c r="H1418" s="209"/>
      <c r="I1418" s="209"/>
      <c r="J1418" s="209"/>
      <c r="K1418" s="209"/>
      <c r="L1418" s="209"/>
      <c r="M1418" s="207"/>
      <c r="N1418" s="209"/>
      <c r="O1418" s="209"/>
      <c r="P1418" s="209"/>
      <c r="Q1418" s="209"/>
      <c r="R1418" s="209"/>
      <c r="S1418" s="210"/>
    </row>
    <row r="1419" spans="1:19" s="14" customFormat="1" ht="57" x14ac:dyDescent="0.7">
      <c r="A1419" s="248"/>
      <c r="B1419" s="214"/>
      <c r="C1419" s="207"/>
      <c r="D1419" s="232"/>
      <c r="E1419" s="232"/>
      <c r="F1419" s="209"/>
      <c r="G1419" s="209"/>
      <c r="H1419" s="209"/>
      <c r="I1419" s="209"/>
      <c r="J1419" s="209"/>
      <c r="K1419" s="209"/>
      <c r="L1419" s="209"/>
      <c r="M1419" s="207"/>
      <c r="N1419" s="209"/>
      <c r="O1419" s="209"/>
      <c r="P1419" s="209"/>
      <c r="Q1419" s="209"/>
      <c r="R1419" s="209"/>
      <c r="S1419" s="210"/>
    </row>
    <row r="1420" spans="1:19" s="14" customFormat="1" ht="57" x14ac:dyDescent="0.7">
      <c r="A1420" s="248"/>
      <c r="B1420" s="214"/>
      <c r="C1420" s="207"/>
      <c r="D1420" s="232"/>
      <c r="E1420" s="232"/>
      <c r="F1420" s="209"/>
      <c r="G1420" s="209"/>
      <c r="H1420" s="209"/>
      <c r="I1420" s="209"/>
      <c r="J1420" s="209"/>
      <c r="K1420" s="209"/>
      <c r="L1420" s="209"/>
      <c r="M1420" s="207"/>
      <c r="N1420" s="209"/>
      <c r="O1420" s="209"/>
      <c r="P1420" s="209"/>
      <c r="Q1420" s="209"/>
      <c r="R1420" s="209"/>
      <c r="S1420" s="210"/>
    </row>
    <row r="1421" spans="1:19" s="14" customFormat="1" ht="57" x14ac:dyDescent="0.7">
      <c r="A1421" s="248"/>
      <c r="B1421" s="214"/>
      <c r="C1421" s="207"/>
      <c r="D1421" s="232"/>
      <c r="E1421" s="232"/>
      <c r="F1421" s="209"/>
      <c r="G1421" s="209"/>
      <c r="H1421" s="209"/>
      <c r="I1421" s="209"/>
      <c r="J1421" s="209"/>
      <c r="K1421" s="209"/>
      <c r="L1421" s="209"/>
      <c r="M1421" s="207"/>
      <c r="N1421" s="209"/>
      <c r="O1421" s="209"/>
      <c r="P1421" s="209"/>
      <c r="Q1421" s="209"/>
      <c r="R1421" s="209"/>
      <c r="S1421" s="210"/>
    </row>
    <row r="1422" spans="1:19" s="14" customFormat="1" ht="57" x14ac:dyDescent="0.7">
      <c r="A1422" s="248"/>
      <c r="B1422" s="214"/>
      <c r="C1422" s="207"/>
      <c r="D1422" s="232"/>
      <c r="E1422" s="232"/>
      <c r="F1422" s="209"/>
      <c r="G1422" s="209"/>
      <c r="H1422" s="209"/>
      <c r="I1422" s="209"/>
      <c r="J1422" s="209"/>
      <c r="K1422" s="209"/>
      <c r="L1422" s="209"/>
      <c r="M1422" s="207"/>
      <c r="N1422" s="209"/>
      <c r="O1422" s="209"/>
      <c r="P1422" s="209"/>
      <c r="Q1422" s="209"/>
      <c r="R1422" s="209"/>
      <c r="S1422" s="210"/>
    </row>
    <row r="1423" spans="1:19" s="14" customFormat="1" ht="57" x14ac:dyDescent="0.7">
      <c r="A1423" s="248"/>
      <c r="B1423" s="214"/>
      <c r="C1423" s="207"/>
      <c r="D1423" s="232"/>
      <c r="E1423" s="232"/>
      <c r="F1423" s="209"/>
      <c r="G1423" s="209"/>
      <c r="H1423" s="209"/>
      <c r="I1423" s="209"/>
      <c r="J1423" s="209"/>
      <c r="K1423" s="209"/>
      <c r="L1423" s="209"/>
      <c r="M1423" s="207"/>
      <c r="N1423" s="209"/>
      <c r="O1423" s="209"/>
      <c r="P1423" s="209"/>
      <c r="Q1423" s="209"/>
      <c r="R1423" s="209"/>
      <c r="S1423" s="210"/>
    </row>
    <row r="1424" spans="1:19" s="14" customFormat="1" ht="57" x14ac:dyDescent="0.7">
      <c r="A1424" s="248"/>
      <c r="B1424" s="214"/>
      <c r="C1424" s="207"/>
      <c r="D1424" s="232"/>
      <c r="E1424" s="232"/>
      <c r="F1424" s="209"/>
      <c r="G1424" s="209"/>
      <c r="H1424" s="209"/>
      <c r="I1424" s="209"/>
      <c r="J1424" s="209"/>
      <c r="K1424" s="209"/>
      <c r="L1424" s="209"/>
      <c r="M1424" s="207"/>
      <c r="N1424" s="209"/>
      <c r="O1424" s="209"/>
      <c r="P1424" s="209"/>
      <c r="Q1424" s="209"/>
      <c r="R1424" s="209"/>
      <c r="S1424" s="210"/>
    </row>
    <row r="1425" spans="1:19" s="14" customFormat="1" ht="57" x14ac:dyDescent="0.7">
      <c r="A1425" s="248"/>
      <c r="B1425" s="214"/>
      <c r="C1425" s="207"/>
      <c r="D1425" s="232"/>
      <c r="E1425" s="232"/>
      <c r="F1425" s="209"/>
      <c r="G1425" s="209"/>
      <c r="H1425" s="209"/>
      <c r="I1425" s="209"/>
      <c r="J1425" s="209"/>
      <c r="K1425" s="209"/>
      <c r="L1425" s="209"/>
      <c r="M1425" s="207"/>
      <c r="N1425" s="209"/>
      <c r="O1425" s="209"/>
      <c r="P1425" s="209"/>
      <c r="Q1425" s="209"/>
      <c r="R1425" s="209"/>
      <c r="S1425" s="210"/>
    </row>
    <row r="1426" spans="1:19" s="14" customFormat="1" ht="57" x14ac:dyDescent="0.7">
      <c r="A1426" s="248"/>
      <c r="B1426" s="214"/>
      <c r="C1426" s="207"/>
      <c r="D1426" s="232"/>
      <c r="E1426" s="232"/>
      <c r="F1426" s="209"/>
      <c r="G1426" s="209"/>
      <c r="H1426" s="209"/>
      <c r="I1426" s="209"/>
      <c r="J1426" s="209"/>
      <c r="K1426" s="209"/>
      <c r="L1426" s="209"/>
      <c r="M1426" s="207"/>
      <c r="N1426" s="209"/>
      <c r="O1426" s="209"/>
      <c r="P1426" s="209"/>
      <c r="Q1426" s="209"/>
      <c r="R1426" s="209"/>
      <c r="S1426" s="210"/>
    </row>
    <row r="1427" spans="1:19" s="14" customFormat="1" ht="57" x14ac:dyDescent="0.7">
      <c r="A1427" s="248"/>
      <c r="B1427" s="214"/>
      <c r="C1427" s="207"/>
      <c r="D1427" s="232"/>
      <c r="E1427" s="232"/>
      <c r="F1427" s="209"/>
      <c r="G1427" s="209"/>
      <c r="H1427" s="209"/>
      <c r="I1427" s="209"/>
      <c r="J1427" s="209"/>
      <c r="K1427" s="209"/>
      <c r="L1427" s="209"/>
      <c r="M1427" s="207"/>
      <c r="N1427" s="209"/>
      <c r="O1427" s="209"/>
      <c r="P1427" s="209"/>
      <c r="Q1427" s="209"/>
      <c r="R1427" s="209"/>
      <c r="S1427" s="210"/>
    </row>
    <row r="1428" spans="1:19" s="14" customFormat="1" ht="57" x14ac:dyDescent="0.7">
      <c r="A1428" s="248"/>
      <c r="B1428" s="214"/>
      <c r="C1428" s="207"/>
      <c r="D1428" s="232"/>
      <c r="E1428" s="232"/>
      <c r="F1428" s="209"/>
      <c r="G1428" s="209"/>
      <c r="H1428" s="209"/>
      <c r="I1428" s="209"/>
      <c r="J1428" s="209"/>
      <c r="K1428" s="209"/>
      <c r="L1428" s="209"/>
      <c r="M1428" s="207"/>
      <c r="N1428" s="209"/>
      <c r="O1428" s="209"/>
      <c r="P1428" s="209"/>
      <c r="Q1428" s="209"/>
      <c r="R1428" s="209"/>
      <c r="S1428" s="210"/>
    </row>
    <row r="1429" spans="1:19" s="14" customFormat="1" ht="57" x14ac:dyDescent="0.7">
      <c r="A1429" s="248"/>
      <c r="B1429" s="214"/>
      <c r="C1429" s="207"/>
      <c r="D1429" s="232"/>
      <c r="E1429" s="232"/>
      <c r="F1429" s="209"/>
      <c r="G1429" s="209"/>
      <c r="H1429" s="209"/>
      <c r="I1429" s="209"/>
      <c r="J1429" s="209"/>
      <c r="K1429" s="209"/>
      <c r="L1429" s="209"/>
      <c r="M1429" s="207"/>
      <c r="N1429" s="209"/>
      <c r="O1429" s="209"/>
      <c r="P1429" s="209"/>
      <c r="Q1429" s="209"/>
      <c r="R1429" s="209"/>
      <c r="S1429" s="210"/>
    </row>
    <row r="1430" spans="1:19" s="14" customFormat="1" ht="57" x14ac:dyDescent="0.7">
      <c r="A1430" s="248"/>
      <c r="B1430" s="214"/>
      <c r="C1430" s="207"/>
      <c r="D1430" s="232"/>
      <c r="E1430" s="232"/>
      <c r="F1430" s="209"/>
      <c r="G1430" s="209"/>
      <c r="H1430" s="209"/>
      <c r="I1430" s="209"/>
      <c r="J1430" s="209"/>
      <c r="K1430" s="209"/>
      <c r="L1430" s="209"/>
      <c r="M1430" s="207"/>
      <c r="N1430" s="209"/>
      <c r="O1430" s="209"/>
      <c r="P1430" s="209"/>
      <c r="Q1430" s="209"/>
      <c r="R1430" s="209"/>
      <c r="S1430" s="210"/>
    </row>
    <row r="1431" spans="1:19" s="14" customFormat="1" ht="57" x14ac:dyDescent="0.7">
      <c r="A1431" s="248"/>
      <c r="B1431" s="214"/>
      <c r="C1431" s="207"/>
      <c r="D1431" s="232"/>
      <c r="E1431" s="232"/>
      <c r="F1431" s="209"/>
      <c r="G1431" s="209"/>
      <c r="H1431" s="209"/>
      <c r="I1431" s="209"/>
      <c r="J1431" s="209"/>
      <c r="K1431" s="209"/>
      <c r="L1431" s="209"/>
      <c r="M1431" s="207"/>
      <c r="N1431" s="209"/>
      <c r="O1431" s="209"/>
      <c r="P1431" s="209"/>
      <c r="Q1431" s="209"/>
      <c r="R1431" s="209"/>
      <c r="S1431" s="210"/>
    </row>
    <row r="1432" spans="1:19" s="14" customFormat="1" ht="57" x14ac:dyDescent="0.7">
      <c r="A1432" s="248"/>
      <c r="B1432" s="214"/>
      <c r="C1432" s="207"/>
      <c r="D1432" s="232"/>
      <c r="E1432" s="232"/>
      <c r="F1432" s="209"/>
      <c r="G1432" s="209"/>
      <c r="H1432" s="209"/>
      <c r="I1432" s="209"/>
      <c r="J1432" s="209"/>
      <c r="K1432" s="209"/>
      <c r="L1432" s="209"/>
      <c r="M1432" s="207"/>
      <c r="N1432" s="209"/>
      <c r="O1432" s="209"/>
      <c r="P1432" s="209"/>
      <c r="Q1432" s="209"/>
      <c r="R1432" s="209"/>
      <c r="S1432" s="210"/>
    </row>
    <row r="1433" spans="1:19" s="14" customFormat="1" ht="57" x14ac:dyDescent="0.7">
      <c r="A1433" s="248"/>
      <c r="B1433" s="214"/>
      <c r="C1433" s="207"/>
      <c r="D1433" s="232"/>
      <c r="E1433" s="232"/>
      <c r="F1433" s="209"/>
      <c r="G1433" s="209"/>
      <c r="H1433" s="209"/>
      <c r="I1433" s="209"/>
      <c r="J1433" s="209"/>
      <c r="K1433" s="209"/>
      <c r="L1433" s="209"/>
      <c r="M1433" s="207"/>
      <c r="N1433" s="209"/>
      <c r="O1433" s="209"/>
      <c r="P1433" s="209"/>
      <c r="Q1433" s="209"/>
      <c r="R1433" s="209"/>
      <c r="S1433" s="210"/>
    </row>
    <row r="1434" spans="1:19" s="14" customFormat="1" ht="57" x14ac:dyDescent="0.7">
      <c r="A1434" s="248"/>
      <c r="B1434" s="214"/>
      <c r="C1434" s="207"/>
      <c r="D1434" s="232"/>
      <c r="E1434" s="232"/>
      <c r="F1434" s="209"/>
      <c r="G1434" s="209"/>
      <c r="H1434" s="209"/>
      <c r="I1434" s="209"/>
      <c r="J1434" s="209"/>
      <c r="K1434" s="209"/>
      <c r="L1434" s="209"/>
      <c r="M1434" s="207"/>
      <c r="N1434" s="209"/>
      <c r="O1434" s="209"/>
      <c r="P1434" s="209"/>
      <c r="Q1434" s="209"/>
      <c r="R1434" s="209"/>
      <c r="S1434" s="210"/>
    </row>
    <row r="1435" spans="1:19" s="14" customFormat="1" ht="57" x14ac:dyDescent="0.7">
      <c r="A1435" s="248"/>
      <c r="B1435" s="214"/>
      <c r="C1435" s="207"/>
      <c r="D1435" s="232"/>
      <c r="E1435" s="232"/>
      <c r="F1435" s="209"/>
      <c r="G1435" s="209"/>
      <c r="H1435" s="209"/>
      <c r="I1435" s="209"/>
      <c r="J1435" s="209"/>
      <c r="K1435" s="209"/>
      <c r="L1435" s="209"/>
      <c r="M1435" s="207"/>
      <c r="N1435" s="209"/>
      <c r="O1435" s="209"/>
      <c r="P1435" s="209"/>
      <c r="Q1435" s="209"/>
      <c r="R1435" s="209"/>
      <c r="S1435" s="210"/>
    </row>
    <row r="1436" spans="1:19" s="14" customFormat="1" ht="57" x14ac:dyDescent="0.7">
      <c r="A1436" s="248"/>
      <c r="B1436" s="214"/>
      <c r="C1436" s="207"/>
      <c r="D1436" s="232"/>
      <c r="E1436" s="232"/>
      <c r="F1436" s="209"/>
      <c r="G1436" s="209"/>
      <c r="H1436" s="209"/>
      <c r="I1436" s="209"/>
      <c r="J1436" s="209"/>
      <c r="K1436" s="209"/>
      <c r="L1436" s="209"/>
      <c r="M1436" s="207"/>
      <c r="N1436" s="209"/>
      <c r="O1436" s="209"/>
      <c r="P1436" s="209"/>
      <c r="Q1436" s="209"/>
      <c r="R1436" s="209"/>
      <c r="S1436" s="210"/>
    </row>
    <row r="1437" spans="1:19" s="14" customFormat="1" ht="57" x14ac:dyDescent="0.7">
      <c r="A1437" s="248"/>
      <c r="B1437" s="214"/>
      <c r="C1437" s="207"/>
      <c r="D1437" s="232"/>
      <c r="E1437" s="232"/>
      <c r="F1437" s="209"/>
      <c r="G1437" s="209"/>
      <c r="H1437" s="209"/>
      <c r="I1437" s="209"/>
      <c r="J1437" s="209"/>
      <c r="K1437" s="209"/>
      <c r="L1437" s="209"/>
      <c r="M1437" s="207"/>
      <c r="N1437" s="209"/>
      <c r="O1437" s="209"/>
      <c r="P1437" s="209"/>
      <c r="Q1437" s="209"/>
      <c r="R1437" s="209"/>
      <c r="S1437" s="210"/>
    </row>
    <row r="1438" spans="1:19" s="14" customFormat="1" ht="57" x14ac:dyDescent="0.7">
      <c r="A1438" s="248"/>
      <c r="B1438" s="214"/>
      <c r="C1438" s="207"/>
      <c r="D1438" s="232"/>
      <c r="E1438" s="232"/>
      <c r="F1438" s="209"/>
      <c r="G1438" s="209"/>
      <c r="H1438" s="209"/>
      <c r="I1438" s="209"/>
      <c r="J1438" s="209"/>
      <c r="K1438" s="209"/>
      <c r="L1438" s="209"/>
      <c r="M1438" s="207"/>
      <c r="N1438" s="209"/>
      <c r="O1438" s="209"/>
      <c r="P1438" s="209"/>
      <c r="Q1438" s="209"/>
      <c r="R1438" s="209"/>
      <c r="S1438" s="210"/>
    </row>
    <row r="1439" spans="1:19" s="14" customFormat="1" ht="57" x14ac:dyDescent="0.7">
      <c r="A1439" s="248"/>
      <c r="B1439" s="214"/>
      <c r="C1439" s="207"/>
      <c r="D1439" s="232"/>
      <c r="E1439" s="232"/>
      <c r="F1439" s="209"/>
      <c r="G1439" s="209"/>
      <c r="H1439" s="209"/>
      <c r="I1439" s="209"/>
      <c r="J1439" s="209"/>
      <c r="K1439" s="209"/>
      <c r="L1439" s="209"/>
      <c r="M1439" s="207"/>
      <c r="N1439" s="209"/>
      <c r="O1439" s="209"/>
      <c r="P1439" s="209"/>
      <c r="Q1439" s="209"/>
      <c r="R1439" s="209"/>
      <c r="S1439" s="210"/>
    </row>
    <row r="1440" spans="1:19" s="14" customFormat="1" ht="57" x14ac:dyDescent="0.7">
      <c r="A1440" s="248"/>
      <c r="B1440" s="214"/>
      <c r="C1440" s="207"/>
      <c r="D1440" s="232"/>
      <c r="E1440" s="232"/>
      <c r="F1440" s="209"/>
      <c r="G1440" s="209"/>
      <c r="H1440" s="209"/>
      <c r="I1440" s="209"/>
      <c r="J1440" s="209"/>
      <c r="K1440" s="209"/>
      <c r="L1440" s="209"/>
      <c r="M1440" s="207"/>
      <c r="N1440" s="209"/>
      <c r="O1440" s="209"/>
      <c r="P1440" s="209"/>
      <c r="Q1440" s="209"/>
      <c r="R1440" s="209"/>
      <c r="S1440" s="210"/>
    </row>
    <row r="1441" spans="1:19" s="14" customFormat="1" ht="57" x14ac:dyDescent="0.7">
      <c r="A1441" s="248"/>
      <c r="B1441" s="214"/>
      <c r="C1441" s="207"/>
      <c r="D1441" s="232"/>
      <c r="E1441" s="232"/>
      <c r="F1441" s="209"/>
      <c r="G1441" s="209"/>
      <c r="H1441" s="209"/>
      <c r="I1441" s="209"/>
      <c r="J1441" s="209"/>
      <c r="K1441" s="209"/>
      <c r="L1441" s="209"/>
      <c r="M1441" s="207"/>
      <c r="N1441" s="209"/>
      <c r="O1441" s="209"/>
      <c r="P1441" s="209"/>
      <c r="Q1441" s="209"/>
      <c r="R1441" s="209"/>
      <c r="S1441" s="210"/>
    </row>
    <row r="1442" spans="1:19" s="14" customFormat="1" ht="57" x14ac:dyDescent="0.7">
      <c r="A1442" s="248"/>
      <c r="B1442" s="214"/>
      <c r="C1442" s="207"/>
      <c r="D1442" s="232"/>
      <c r="E1442" s="232"/>
      <c r="F1442" s="209"/>
      <c r="G1442" s="209"/>
      <c r="H1442" s="209"/>
      <c r="I1442" s="209"/>
      <c r="J1442" s="209"/>
      <c r="K1442" s="209"/>
      <c r="L1442" s="209"/>
      <c r="M1442" s="207"/>
      <c r="N1442" s="209"/>
      <c r="O1442" s="209"/>
      <c r="P1442" s="209"/>
      <c r="Q1442" s="209"/>
      <c r="R1442" s="209"/>
      <c r="S1442" s="210"/>
    </row>
    <row r="1443" spans="1:19" s="14" customFormat="1" ht="57" x14ac:dyDescent="0.7">
      <c r="A1443" s="248"/>
      <c r="B1443" s="214"/>
      <c r="C1443" s="207"/>
      <c r="D1443" s="232"/>
      <c r="E1443" s="232"/>
      <c r="F1443" s="209"/>
      <c r="G1443" s="209"/>
      <c r="H1443" s="209"/>
      <c r="I1443" s="209"/>
      <c r="J1443" s="209"/>
      <c r="K1443" s="209"/>
      <c r="L1443" s="209"/>
      <c r="M1443" s="207"/>
      <c r="N1443" s="209"/>
      <c r="O1443" s="209"/>
      <c r="P1443" s="209"/>
      <c r="Q1443" s="209"/>
      <c r="R1443" s="209"/>
      <c r="S1443" s="210"/>
    </row>
    <row r="1444" spans="1:19" s="14" customFormat="1" ht="57" x14ac:dyDescent="0.7">
      <c r="A1444" s="248"/>
      <c r="B1444" s="214"/>
      <c r="C1444" s="207"/>
      <c r="D1444" s="232"/>
      <c r="E1444" s="232"/>
      <c r="F1444" s="209"/>
      <c r="G1444" s="209"/>
      <c r="H1444" s="209"/>
      <c r="I1444" s="209"/>
      <c r="J1444" s="209"/>
      <c r="K1444" s="209"/>
      <c r="L1444" s="209"/>
      <c r="M1444" s="207"/>
      <c r="N1444" s="209"/>
      <c r="O1444" s="209"/>
      <c r="P1444" s="209"/>
      <c r="Q1444" s="209"/>
      <c r="R1444" s="209"/>
      <c r="S1444" s="210"/>
    </row>
    <row r="1445" spans="1:19" s="14" customFormat="1" ht="57" x14ac:dyDescent="0.7">
      <c r="A1445" s="248"/>
      <c r="B1445" s="214"/>
      <c r="C1445" s="207"/>
      <c r="D1445" s="232"/>
      <c r="E1445" s="232"/>
      <c r="F1445" s="209"/>
      <c r="G1445" s="209"/>
      <c r="H1445" s="209"/>
      <c r="I1445" s="209"/>
      <c r="J1445" s="209"/>
      <c r="K1445" s="209"/>
      <c r="L1445" s="209"/>
      <c r="M1445" s="207"/>
      <c r="N1445" s="209"/>
      <c r="O1445" s="209"/>
      <c r="P1445" s="209"/>
      <c r="Q1445" s="209"/>
      <c r="R1445" s="209"/>
      <c r="S1445" s="210"/>
    </row>
    <row r="1446" spans="1:19" s="14" customFormat="1" ht="57" x14ac:dyDescent="0.7">
      <c r="A1446" s="248"/>
      <c r="B1446" s="214"/>
      <c r="C1446" s="207"/>
      <c r="D1446" s="232"/>
      <c r="E1446" s="232"/>
      <c r="F1446" s="209"/>
      <c r="G1446" s="209"/>
      <c r="H1446" s="209"/>
      <c r="I1446" s="209"/>
      <c r="J1446" s="209"/>
      <c r="K1446" s="209"/>
      <c r="L1446" s="209"/>
      <c r="M1446" s="207"/>
      <c r="N1446" s="209"/>
      <c r="O1446" s="209"/>
      <c r="P1446" s="209"/>
      <c r="Q1446" s="209"/>
      <c r="R1446" s="209"/>
      <c r="S1446" s="210"/>
    </row>
    <row r="1447" spans="1:19" s="14" customFormat="1" ht="57" x14ac:dyDescent="0.7">
      <c r="A1447" s="248"/>
      <c r="B1447" s="214"/>
      <c r="C1447" s="207"/>
      <c r="D1447" s="232"/>
      <c r="E1447" s="232"/>
      <c r="F1447" s="209"/>
      <c r="G1447" s="209"/>
      <c r="H1447" s="209"/>
      <c r="I1447" s="209"/>
      <c r="J1447" s="209"/>
      <c r="K1447" s="209"/>
      <c r="L1447" s="209"/>
      <c r="M1447" s="207"/>
      <c r="N1447" s="209"/>
      <c r="O1447" s="209"/>
      <c r="P1447" s="209"/>
      <c r="Q1447" s="209"/>
      <c r="R1447" s="209"/>
      <c r="S1447" s="210"/>
    </row>
    <row r="1448" spans="1:19" s="14" customFormat="1" ht="57" x14ac:dyDescent="0.7">
      <c r="A1448" s="248"/>
      <c r="B1448" s="214"/>
      <c r="C1448" s="207"/>
      <c r="D1448" s="232"/>
      <c r="E1448" s="232"/>
      <c r="F1448" s="209"/>
      <c r="G1448" s="209"/>
      <c r="H1448" s="209"/>
      <c r="I1448" s="209"/>
      <c r="J1448" s="209"/>
      <c r="K1448" s="209"/>
      <c r="L1448" s="209"/>
      <c r="M1448" s="207"/>
      <c r="N1448" s="209"/>
      <c r="O1448" s="209"/>
      <c r="P1448" s="209"/>
      <c r="Q1448" s="209"/>
      <c r="R1448" s="209"/>
      <c r="S1448" s="210"/>
    </row>
    <row r="1449" spans="1:19" s="14" customFormat="1" ht="57" x14ac:dyDescent="0.7">
      <c r="A1449" s="248"/>
      <c r="B1449" s="214"/>
      <c r="C1449" s="207"/>
      <c r="D1449" s="232"/>
      <c r="E1449" s="232"/>
      <c r="F1449" s="209"/>
      <c r="G1449" s="209"/>
      <c r="H1449" s="209"/>
      <c r="I1449" s="209"/>
      <c r="J1449" s="209"/>
      <c r="K1449" s="209"/>
      <c r="L1449" s="209"/>
      <c r="M1449" s="207"/>
      <c r="N1449" s="209"/>
      <c r="O1449" s="209"/>
      <c r="P1449" s="209"/>
      <c r="Q1449" s="209"/>
      <c r="R1449" s="209"/>
      <c r="S1449" s="210"/>
    </row>
    <row r="1450" spans="1:19" s="14" customFormat="1" ht="57" x14ac:dyDescent="0.7">
      <c r="A1450" s="248"/>
      <c r="B1450" s="214"/>
      <c r="C1450" s="207"/>
      <c r="D1450" s="232"/>
      <c r="E1450" s="232"/>
      <c r="F1450" s="209"/>
      <c r="G1450" s="209"/>
      <c r="H1450" s="209"/>
      <c r="I1450" s="209"/>
      <c r="J1450" s="209"/>
      <c r="K1450" s="209"/>
      <c r="L1450" s="209"/>
      <c r="M1450" s="207"/>
      <c r="N1450" s="209"/>
      <c r="O1450" s="209"/>
      <c r="P1450" s="209"/>
      <c r="Q1450" s="209"/>
      <c r="R1450" s="209"/>
      <c r="S1450" s="210"/>
    </row>
    <row r="1451" spans="1:19" s="14" customFormat="1" ht="57" x14ac:dyDescent="0.7">
      <c r="A1451" s="248"/>
      <c r="B1451" s="214"/>
      <c r="C1451" s="207"/>
      <c r="D1451" s="232"/>
      <c r="E1451" s="232"/>
      <c r="F1451" s="209"/>
      <c r="G1451" s="209"/>
      <c r="H1451" s="209"/>
      <c r="I1451" s="209"/>
      <c r="J1451" s="209"/>
      <c r="K1451" s="209"/>
      <c r="L1451" s="209"/>
      <c r="M1451" s="207"/>
      <c r="N1451" s="209"/>
      <c r="O1451" s="209"/>
      <c r="P1451" s="209"/>
      <c r="Q1451" s="209"/>
      <c r="R1451" s="209"/>
      <c r="S1451" s="210"/>
    </row>
    <row r="1452" spans="1:19" s="14" customFormat="1" ht="57" x14ac:dyDescent="0.7">
      <c r="A1452" s="248"/>
      <c r="B1452" s="214"/>
      <c r="C1452" s="207"/>
      <c r="D1452" s="232"/>
      <c r="E1452" s="232"/>
      <c r="F1452" s="209"/>
      <c r="G1452" s="209"/>
      <c r="H1452" s="209"/>
      <c r="I1452" s="209"/>
      <c r="J1452" s="209"/>
      <c r="K1452" s="209"/>
      <c r="L1452" s="209"/>
      <c r="M1452" s="207"/>
      <c r="N1452" s="209"/>
      <c r="O1452" s="209"/>
      <c r="P1452" s="209"/>
      <c r="Q1452" s="209"/>
      <c r="R1452" s="209"/>
      <c r="S1452" s="210"/>
    </row>
    <row r="1453" spans="1:19" s="14" customFormat="1" ht="57" x14ac:dyDescent="0.7">
      <c r="A1453" s="248"/>
      <c r="B1453" s="214"/>
      <c r="C1453" s="207"/>
      <c r="D1453" s="232"/>
      <c r="E1453" s="232"/>
      <c r="F1453" s="209"/>
      <c r="G1453" s="209"/>
      <c r="H1453" s="209"/>
      <c r="I1453" s="209"/>
      <c r="J1453" s="209"/>
      <c r="K1453" s="209"/>
      <c r="L1453" s="209"/>
      <c r="M1453" s="207"/>
      <c r="N1453" s="209"/>
      <c r="O1453" s="209"/>
      <c r="P1453" s="209"/>
      <c r="Q1453" s="209"/>
      <c r="R1453" s="209"/>
      <c r="S1453" s="210"/>
    </row>
    <row r="1454" spans="1:19" s="14" customFormat="1" ht="57" x14ac:dyDescent="0.7">
      <c r="A1454" s="248"/>
      <c r="B1454" s="214"/>
      <c r="C1454" s="207"/>
      <c r="D1454" s="232"/>
      <c r="E1454" s="232"/>
      <c r="F1454" s="209"/>
      <c r="G1454" s="209"/>
      <c r="H1454" s="209"/>
      <c r="I1454" s="209"/>
      <c r="J1454" s="209"/>
      <c r="K1454" s="209"/>
      <c r="L1454" s="209"/>
      <c r="M1454" s="207"/>
      <c r="N1454" s="209"/>
      <c r="O1454" s="209"/>
      <c r="P1454" s="209"/>
      <c r="Q1454" s="209"/>
      <c r="R1454" s="209"/>
      <c r="S1454" s="210"/>
    </row>
    <row r="1455" spans="1:19" s="14" customFormat="1" ht="57" x14ac:dyDescent="0.7">
      <c r="A1455" s="248"/>
      <c r="B1455" s="214"/>
      <c r="C1455" s="207"/>
      <c r="D1455" s="232"/>
      <c r="E1455" s="232"/>
      <c r="F1455" s="209"/>
      <c r="G1455" s="209"/>
      <c r="H1455" s="209"/>
      <c r="I1455" s="209"/>
      <c r="J1455" s="209"/>
      <c r="K1455" s="209"/>
      <c r="L1455" s="209"/>
      <c r="M1455" s="207"/>
      <c r="N1455" s="209"/>
      <c r="O1455" s="209"/>
      <c r="P1455" s="209"/>
      <c r="Q1455" s="209"/>
      <c r="R1455" s="209"/>
      <c r="S1455" s="210"/>
    </row>
    <row r="1456" spans="1:19" s="14" customFormat="1" ht="57" x14ac:dyDescent="0.7">
      <c r="A1456" s="248"/>
      <c r="B1456" s="214"/>
      <c r="C1456" s="207"/>
      <c r="D1456" s="232"/>
      <c r="E1456" s="232"/>
      <c r="F1456" s="209"/>
      <c r="G1456" s="209"/>
      <c r="H1456" s="209"/>
      <c r="I1456" s="209"/>
      <c r="J1456" s="209"/>
      <c r="K1456" s="209"/>
      <c r="L1456" s="209"/>
      <c r="M1456" s="207"/>
      <c r="N1456" s="209"/>
      <c r="O1456" s="209"/>
      <c r="P1456" s="209"/>
      <c r="Q1456" s="209"/>
      <c r="R1456" s="209"/>
      <c r="S1456" s="210"/>
    </row>
    <row r="1457" spans="1:19" s="14" customFormat="1" ht="57" x14ac:dyDescent="0.7">
      <c r="A1457" s="248"/>
      <c r="B1457" s="214"/>
      <c r="C1457" s="207"/>
      <c r="D1457" s="232"/>
      <c r="E1457" s="232"/>
      <c r="F1457" s="209"/>
      <c r="G1457" s="209"/>
      <c r="H1457" s="209"/>
      <c r="I1457" s="209"/>
      <c r="J1457" s="209"/>
      <c r="K1457" s="209"/>
      <c r="L1457" s="209"/>
      <c r="M1457" s="207"/>
      <c r="N1457" s="209"/>
      <c r="O1457" s="209"/>
      <c r="P1457" s="209"/>
      <c r="Q1457" s="209"/>
      <c r="R1457" s="209"/>
      <c r="S1457" s="210"/>
    </row>
    <row r="1458" spans="1:19" s="14" customFormat="1" ht="57" x14ac:dyDescent="0.7">
      <c r="A1458" s="248"/>
      <c r="B1458" s="214"/>
      <c r="C1458" s="207"/>
      <c r="D1458" s="232"/>
      <c r="E1458" s="232"/>
      <c r="F1458" s="209"/>
      <c r="G1458" s="209"/>
      <c r="H1458" s="209"/>
      <c r="I1458" s="209"/>
      <c r="J1458" s="209"/>
      <c r="K1458" s="209"/>
      <c r="L1458" s="209"/>
      <c r="M1458" s="207"/>
      <c r="N1458" s="209"/>
      <c r="O1458" s="209"/>
      <c r="P1458" s="209"/>
      <c r="Q1458" s="209"/>
      <c r="R1458" s="209"/>
      <c r="S1458" s="210"/>
    </row>
    <row r="1459" spans="1:19" s="14" customFormat="1" ht="57" x14ac:dyDescent="0.7">
      <c r="A1459" s="248"/>
      <c r="B1459" s="214"/>
      <c r="C1459" s="207"/>
      <c r="D1459" s="232"/>
      <c r="E1459" s="232"/>
      <c r="F1459" s="209"/>
      <c r="G1459" s="209"/>
      <c r="H1459" s="209"/>
      <c r="I1459" s="209"/>
      <c r="J1459" s="209"/>
      <c r="K1459" s="209"/>
      <c r="L1459" s="209"/>
      <c r="M1459" s="207"/>
      <c r="N1459" s="209"/>
      <c r="O1459" s="209"/>
      <c r="P1459" s="209"/>
      <c r="Q1459" s="209"/>
      <c r="R1459" s="209"/>
      <c r="S1459" s="210"/>
    </row>
    <row r="1460" spans="1:19" s="14" customFormat="1" ht="57" x14ac:dyDescent="0.7">
      <c r="A1460" s="248"/>
      <c r="B1460" s="214"/>
      <c r="C1460" s="207"/>
      <c r="D1460" s="232"/>
      <c r="E1460" s="232"/>
      <c r="F1460" s="209"/>
      <c r="G1460" s="209"/>
      <c r="H1460" s="209"/>
      <c r="I1460" s="209"/>
      <c r="J1460" s="209"/>
      <c r="K1460" s="209"/>
      <c r="L1460" s="209"/>
      <c r="M1460" s="207"/>
      <c r="N1460" s="209"/>
      <c r="O1460" s="209"/>
      <c r="P1460" s="209"/>
      <c r="Q1460" s="209"/>
      <c r="R1460" s="209"/>
      <c r="S1460" s="210"/>
    </row>
    <row r="1461" spans="1:19" s="14" customFormat="1" ht="57" x14ac:dyDescent="0.7">
      <c r="A1461" s="248"/>
      <c r="B1461" s="214"/>
      <c r="C1461" s="207"/>
      <c r="D1461" s="232"/>
      <c r="E1461" s="232"/>
      <c r="F1461" s="209"/>
      <c r="G1461" s="209"/>
      <c r="H1461" s="209"/>
      <c r="I1461" s="209"/>
      <c r="J1461" s="209"/>
      <c r="K1461" s="209"/>
      <c r="L1461" s="209"/>
      <c r="M1461" s="207"/>
      <c r="N1461" s="209"/>
      <c r="O1461" s="209"/>
      <c r="P1461" s="209"/>
      <c r="Q1461" s="209"/>
      <c r="R1461" s="209"/>
      <c r="S1461" s="210"/>
    </row>
    <row r="1462" spans="1:19" s="14" customFormat="1" ht="57" x14ac:dyDescent="0.7">
      <c r="A1462" s="248"/>
      <c r="B1462" s="214"/>
      <c r="C1462" s="207"/>
      <c r="D1462" s="232"/>
      <c r="E1462" s="232"/>
      <c r="F1462" s="209"/>
      <c r="G1462" s="209"/>
      <c r="H1462" s="209"/>
      <c r="I1462" s="209"/>
      <c r="J1462" s="209"/>
      <c r="K1462" s="209"/>
      <c r="L1462" s="209"/>
      <c r="M1462" s="207"/>
      <c r="N1462" s="209"/>
      <c r="O1462" s="209"/>
      <c r="P1462" s="209"/>
      <c r="Q1462" s="209"/>
      <c r="R1462" s="209"/>
      <c r="S1462" s="210"/>
    </row>
    <row r="1463" spans="1:19" s="14" customFormat="1" ht="57" x14ac:dyDescent="0.7">
      <c r="A1463" s="248"/>
      <c r="B1463" s="214"/>
      <c r="C1463" s="207"/>
      <c r="D1463" s="232"/>
      <c r="E1463" s="232"/>
      <c r="F1463" s="209"/>
      <c r="G1463" s="209"/>
      <c r="H1463" s="209"/>
      <c r="I1463" s="209"/>
      <c r="J1463" s="209"/>
      <c r="K1463" s="209"/>
      <c r="L1463" s="209"/>
      <c r="M1463" s="207"/>
      <c r="N1463" s="209"/>
      <c r="O1463" s="209"/>
      <c r="P1463" s="209"/>
      <c r="Q1463" s="209"/>
      <c r="R1463" s="209"/>
      <c r="S1463" s="210"/>
    </row>
    <row r="1464" spans="1:19" s="14" customFormat="1" ht="57" x14ac:dyDescent="0.7">
      <c r="A1464" s="248"/>
      <c r="B1464" s="214"/>
      <c r="C1464" s="207"/>
      <c r="D1464" s="232"/>
      <c r="E1464" s="232"/>
      <c r="F1464" s="209"/>
      <c r="G1464" s="209"/>
      <c r="H1464" s="209"/>
      <c r="I1464" s="209"/>
      <c r="J1464" s="209"/>
      <c r="K1464" s="209"/>
      <c r="L1464" s="209"/>
      <c r="M1464" s="207"/>
      <c r="N1464" s="209"/>
      <c r="O1464" s="209"/>
      <c r="P1464" s="209"/>
      <c r="Q1464" s="209"/>
      <c r="R1464" s="209"/>
      <c r="S1464" s="210"/>
    </row>
    <row r="1465" spans="1:19" s="14" customFormat="1" ht="57" x14ac:dyDescent="0.7">
      <c r="A1465" s="248"/>
      <c r="B1465" s="214"/>
      <c r="C1465" s="207"/>
      <c r="D1465" s="232"/>
      <c r="E1465" s="232"/>
      <c r="F1465" s="209"/>
      <c r="G1465" s="209"/>
      <c r="H1465" s="209"/>
      <c r="I1465" s="209"/>
      <c r="J1465" s="209"/>
      <c r="K1465" s="209"/>
      <c r="L1465" s="209"/>
      <c r="M1465" s="207"/>
      <c r="N1465" s="209"/>
      <c r="O1465" s="209"/>
      <c r="P1465" s="209"/>
      <c r="Q1465" s="209"/>
      <c r="R1465" s="209"/>
      <c r="S1465" s="210"/>
    </row>
    <row r="1466" spans="1:19" s="14" customFormat="1" ht="57" x14ac:dyDescent="0.7">
      <c r="A1466" s="248"/>
      <c r="B1466" s="214"/>
      <c r="C1466" s="207"/>
      <c r="D1466" s="232"/>
      <c r="E1466" s="232"/>
      <c r="F1466" s="209"/>
      <c r="G1466" s="209"/>
      <c r="H1466" s="209"/>
      <c r="I1466" s="209"/>
      <c r="J1466" s="209"/>
      <c r="K1466" s="209"/>
      <c r="L1466" s="209"/>
      <c r="M1466" s="207"/>
      <c r="N1466" s="209"/>
      <c r="O1466" s="209"/>
      <c r="P1466" s="209"/>
      <c r="Q1466" s="209"/>
      <c r="R1466" s="209"/>
      <c r="S1466" s="210"/>
    </row>
    <row r="1467" spans="1:19" s="14" customFormat="1" ht="57" x14ac:dyDescent="0.7">
      <c r="A1467" s="248"/>
      <c r="B1467" s="214"/>
      <c r="C1467" s="207"/>
      <c r="D1467" s="232"/>
      <c r="E1467" s="232"/>
      <c r="F1467" s="209"/>
      <c r="G1467" s="209"/>
      <c r="H1467" s="209"/>
      <c r="I1467" s="209"/>
      <c r="J1467" s="209"/>
      <c r="K1467" s="209"/>
      <c r="L1467" s="209"/>
      <c r="M1467" s="207"/>
      <c r="N1467" s="209"/>
      <c r="O1467" s="209"/>
      <c r="P1467" s="209"/>
      <c r="Q1467" s="209"/>
      <c r="R1467" s="209"/>
      <c r="S1467" s="210"/>
    </row>
    <row r="1468" spans="1:19" s="14" customFormat="1" ht="57" x14ac:dyDescent="0.7">
      <c r="A1468" s="248"/>
      <c r="B1468" s="214"/>
      <c r="C1468" s="207"/>
      <c r="D1468" s="232"/>
      <c r="E1468" s="232"/>
      <c r="F1468" s="209"/>
      <c r="G1468" s="209"/>
      <c r="H1468" s="209"/>
      <c r="I1468" s="209"/>
      <c r="J1468" s="209"/>
      <c r="K1468" s="209"/>
      <c r="L1468" s="209"/>
      <c r="M1468" s="207"/>
      <c r="N1468" s="209"/>
      <c r="O1468" s="209"/>
      <c r="P1468" s="209"/>
      <c r="Q1468" s="209"/>
      <c r="R1468" s="209"/>
      <c r="S1468" s="210"/>
    </row>
    <row r="1469" spans="1:19" s="14" customFormat="1" ht="57" x14ac:dyDescent="0.7">
      <c r="A1469" s="248"/>
      <c r="B1469" s="214"/>
      <c r="C1469" s="207"/>
      <c r="D1469" s="232"/>
      <c r="E1469" s="232"/>
      <c r="F1469" s="209"/>
      <c r="G1469" s="209"/>
      <c r="H1469" s="209"/>
      <c r="I1469" s="209"/>
      <c r="J1469" s="209"/>
      <c r="K1469" s="209"/>
      <c r="L1469" s="209"/>
      <c r="M1469" s="207"/>
      <c r="N1469" s="209"/>
      <c r="O1469" s="209"/>
      <c r="P1469" s="209"/>
      <c r="Q1469" s="209"/>
      <c r="R1469" s="209"/>
      <c r="S1469" s="210"/>
    </row>
    <row r="1470" spans="1:19" s="14" customFormat="1" ht="57" x14ac:dyDescent="0.7">
      <c r="A1470" s="248"/>
      <c r="B1470" s="214"/>
      <c r="C1470" s="207"/>
      <c r="D1470" s="232"/>
      <c r="E1470" s="232"/>
      <c r="F1470" s="209"/>
      <c r="G1470" s="209"/>
      <c r="H1470" s="209"/>
      <c r="I1470" s="209"/>
      <c r="J1470" s="209"/>
      <c r="K1470" s="209"/>
      <c r="L1470" s="209"/>
      <c r="M1470" s="207"/>
      <c r="N1470" s="209"/>
      <c r="O1470" s="209"/>
      <c r="P1470" s="209"/>
      <c r="Q1470" s="209"/>
      <c r="R1470" s="209"/>
      <c r="S1470" s="210"/>
    </row>
    <row r="1471" spans="1:19" s="14" customFormat="1" ht="57" x14ac:dyDescent="0.7">
      <c r="A1471" s="248"/>
      <c r="B1471" s="214"/>
      <c r="C1471" s="207"/>
      <c r="D1471" s="232"/>
      <c r="E1471" s="232"/>
      <c r="F1471" s="209"/>
      <c r="G1471" s="209"/>
      <c r="H1471" s="209"/>
      <c r="I1471" s="209"/>
      <c r="J1471" s="209"/>
      <c r="K1471" s="209"/>
      <c r="L1471" s="209"/>
      <c r="M1471" s="207"/>
      <c r="N1471" s="209"/>
      <c r="O1471" s="209"/>
      <c r="P1471" s="209"/>
      <c r="Q1471" s="209"/>
      <c r="R1471" s="209"/>
      <c r="S1471" s="210"/>
    </row>
    <row r="1472" spans="1:19" s="14" customFormat="1" ht="57" x14ac:dyDescent="0.7">
      <c r="A1472" s="248"/>
      <c r="B1472" s="214"/>
      <c r="C1472" s="207"/>
      <c r="D1472" s="232"/>
      <c r="E1472" s="232"/>
      <c r="F1472" s="209"/>
      <c r="G1472" s="209"/>
      <c r="H1472" s="209"/>
      <c r="I1472" s="209"/>
      <c r="J1472" s="209"/>
      <c r="K1472" s="209"/>
      <c r="L1472" s="209"/>
      <c r="M1472" s="207"/>
      <c r="N1472" s="209"/>
      <c r="O1472" s="209"/>
      <c r="P1472" s="209"/>
      <c r="Q1472" s="209"/>
      <c r="R1472" s="209"/>
      <c r="S1472" s="210"/>
    </row>
    <row r="1473" spans="1:19" s="14" customFormat="1" ht="57" x14ac:dyDescent="0.7">
      <c r="A1473" s="248"/>
      <c r="B1473" s="214"/>
      <c r="C1473" s="207"/>
      <c r="D1473" s="232"/>
      <c r="E1473" s="232"/>
      <c r="F1473" s="209"/>
      <c r="G1473" s="209"/>
      <c r="H1473" s="209"/>
      <c r="I1473" s="209"/>
      <c r="J1473" s="209"/>
      <c r="K1473" s="209"/>
      <c r="L1473" s="209"/>
      <c r="M1473" s="207"/>
      <c r="N1473" s="209"/>
      <c r="O1473" s="209"/>
      <c r="P1473" s="209"/>
      <c r="Q1473" s="209"/>
      <c r="R1473" s="209"/>
      <c r="S1473" s="210"/>
    </row>
    <row r="1474" spans="1:19" s="14" customFormat="1" ht="57" x14ac:dyDescent="0.7">
      <c r="A1474" s="248"/>
      <c r="B1474" s="214"/>
      <c r="C1474" s="207"/>
      <c r="D1474" s="232"/>
      <c r="E1474" s="232"/>
      <c r="F1474" s="209"/>
      <c r="G1474" s="209"/>
      <c r="H1474" s="209"/>
      <c r="I1474" s="209"/>
      <c r="J1474" s="209"/>
      <c r="K1474" s="209"/>
      <c r="L1474" s="209"/>
      <c r="M1474" s="207"/>
      <c r="N1474" s="209"/>
      <c r="O1474" s="209"/>
      <c r="P1474" s="209"/>
      <c r="Q1474" s="209"/>
      <c r="R1474" s="209"/>
      <c r="S1474" s="210"/>
    </row>
    <row r="1475" spans="1:19" s="14" customFormat="1" ht="57" x14ac:dyDescent="0.7">
      <c r="A1475" s="248"/>
      <c r="B1475" s="214"/>
      <c r="C1475" s="207"/>
      <c r="D1475" s="232"/>
      <c r="E1475" s="232"/>
      <c r="F1475" s="209"/>
      <c r="G1475" s="209"/>
      <c r="H1475" s="209"/>
      <c r="I1475" s="209"/>
      <c r="J1475" s="209"/>
      <c r="K1475" s="209"/>
      <c r="L1475" s="209"/>
      <c r="M1475" s="207"/>
      <c r="N1475" s="209"/>
      <c r="O1475" s="209"/>
      <c r="P1475" s="209"/>
      <c r="Q1475" s="209"/>
      <c r="R1475" s="209"/>
      <c r="S1475" s="210"/>
    </row>
    <row r="1476" spans="1:19" s="14" customFormat="1" ht="57" x14ac:dyDescent="0.7">
      <c r="A1476" s="248"/>
      <c r="B1476" s="214"/>
      <c r="C1476" s="207"/>
      <c r="D1476" s="232"/>
      <c r="E1476" s="232"/>
      <c r="F1476" s="209"/>
      <c r="G1476" s="209"/>
      <c r="H1476" s="209"/>
      <c r="I1476" s="209"/>
      <c r="J1476" s="209"/>
      <c r="K1476" s="209"/>
      <c r="L1476" s="209"/>
      <c r="M1476" s="207"/>
      <c r="N1476" s="209"/>
      <c r="O1476" s="209"/>
      <c r="P1476" s="209"/>
      <c r="Q1476" s="209"/>
      <c r="R1476" s="209"/>
      <c r="S1476" s="210"/>
    </row>
    <row r="1477" spans="1:19" s="14" customFormat="1" ht="57" x14ac:dyDescent="0.7">
      <c r="A1477" s="248"/>
      <c r="B1477" s="214"/>
      <c r="C1477" s="207"/>
      <c r="D1477" s="232"/>
      <c r="E1477" s="232"/>
      <c r="F1477" s="209"/>
      <c r="G1477" s="209"/>
      <c r="H1477" s="209"/>
      <c r="I1477" s="209"/>
      <c r="J1477" s="209"/>
      <c r="K1477" s="209"/>
      <c r="L1477" s="209"/>
      <c r="M1477" s="207"/>
      <c r="N1477" s="209"/>
      <c r="O1477" s="209"/>
      <c r="P1477" s="209"/>
      <c r="Q1477" s="209"/>
      <c r="R1477" s="209"/>
      <c r="S1477" s="210"/>
    </row>
    <row r="1478" spans="1:19" s="14" customFormat="1" ht="57" x14ac:dyDescent="0.7">
      <c r="A1478" s="248"/>
      <c r="B1478" s="214"/>
      <c r="C1478" s="207"/>
      <c r="D1478" s="232"/>
      <c r="E1478" s="232"/>
      <c r="F1478" s="209"/>
      <c r="G1478" s="209"/>
      <c r="H1478" s="209"/>
      <c r="I1478" s="209"/>
      <c r="J1478" s="209"/>
      <c r="K1478" s="209"/>
      <c r="L1478" s="209"/>
      <c r="M1478" s="207"/>
      <c r="N1478" s="209"/>
      <c r="O1478" s="209"/>
      <c r="P1478" s="209"/>
      <c r="Q1478" s="209"/>
      <c r="R1478" s="209"/>
      <c r="S1478" s="210"/>
    </row>
    <row r="1479" spans="1:19" s="14" customFormat="1" ht="57" x14ac:dyDescent="0.7">
      <c r="A1479" s="248"/>
      <c r="B1479" s="214"/>
      <c r="C1479" s="207"/>
      <c r="D1479" s="232"/>
      <c r="E1479" s="232"/>
      <c r="F1479" s="209"/>
      <c r="G1479" s="209"/>
      <c r="H1479" s="209"/>
      <c r="I1479" s="209"/>
      <c r="J1479" s="209"/>
      <c r="K1479" s="209"/>
      <c r="L1479" s="209"/>
      <c r="M1479" s="207"/>
      <c r="N1479" s="209"/>
      <c r="O1479" s="209"/>
      <c r="P1479" s="209"/>
      <c r="Q1479" s="209"/>
      <c r="R1479" s="209"/>
      <c r="S1479" s="210"/>
    </row>
    <row r="1480" spans="1:19" s="14" customFormat="1" ht="57" x14ac:dyDescent="0.7">
      <c r="A1480" s="248"/>
      <c r="B1480" s="214"/>
      <c r="C1480" s="207"/>
      <c r="D1480" s="232"/>
      <c r="E1480" s="232"/>
      <c r="F1480" s="209"/>
      <c r="G1480" s="209"/>
      <c r="H1480" s="209"/>
      <c r="I1480" s="209"/>
      <c r="J1480" s="209"/>
      <c r="K1480" s="209"/>
      <c r="L1480" s="209"/>
      <c r="M1480" s="207"/>
      <c r="N1480" s="209"/>
      <c r="O1480" s="209"/>
      <c r="P1480" s="209"/>
      <c r="Q1480" s="209"/>
      <c r="R1480" s="209"/>
      <c r="S1480" s="210"/>
    </row>
    <row r="1481" spans="1:19" s="14" customFormat="1" ht="57" x14ac:dyDescent="0.7">
      <c r="A1481" s="248"/>
      <c r="B1481" s="214"/>
      <c r="C1481" s="207"/>
      <c r="D1481" s="232"/>
      <c r="E1481" s="232"/>
      <c r="F1481" s="209"/>
      <c r="G1481" s="209"/>
      <c r="H1481" s="209"/>
      <c r="I1481" s="209"/>
      <c r="J1481" s="209"/>
      <c r="K1481" s="209"/>
      <c r="L1481" s="209"/>
      <c r="M1481" s="207"/>
      <c r="N1481" s="209"/>
      <c r="O1481" s="209"/>
      <c r="P1481" s="209"/>
      <c r="Q1481" s="209"/>
      <c r="R1481" s="209"/>
      <c r="S1481" s="210"/>
    </row>
    <row r="1482" spans="1:19" s="14" customFormat="1" ht="57" x14ac:dyDescent="0.7">
      <c r="A1482" s="248"/>
      <c r="B1482" s="214"/>
      <c r="C1482" s="207"/>
      <c r="D1482" s="232"/>
      <c r="E1482" s="232"/>
      <c r="F1482" s="209"/>
      <c r="G1482" s="209"/>
      <c r="H1482" s="209"/>
      <c r="I1482" s="209"/>
      <c r="J1482" s="209"/>
      <c r="K1482" s="209"/>
      <c r="L1482" s="209"/>
      <c r="M1482" s="207"/>
      <c r="N1482" s="209"/>
      <c r="O1482" s="209"/>
      <c r="P1482" s="209"/>
      <c r="Q1482" s="209"/>
      <c r="R1482" s="209"/>
      <c r="S1482" s="210"/>
    </row>
    <row r="1483" spans="1:19" s="14" customFormat="1" ht="57" x14ac:dyDescent="0.7">
      <c r="A1483" s="248"/>
      <c r="B1483" s="214"/>
      <c r="C1483" s="207"/>
      <c r="D1483" s="232"/>
      <c r="E1483" s="232"/>
      <c r="F1483" s="209"/>
      <c r="G1483" s="209"/>
      <c r="H1483" s="209"/>
      <c r="I1483" s="209"/>
      <c r="J1483" s="209"/>
      <c r="K1483" s="209"/>
      <c r="L1483" s="209"/>
      <c r="M1483" s="207"/>
      <c r="N1483" s="209"/>
      <c r="O1483" s="209"/>
      <c r="P1483" s="209"/>
      <c r="Q1483" s="209"/>
      <c r="R1483" s="209"/>
      <c r="S1483" s="210"/>
    </row>
    <row r="1484" spans="1:19" s="14" customFormat="1" ht="57" x14ac:dyDescent="0.7">
      <c r="A1484" s="248"/>
      <c r="B1484" s="214"/>
      <c r="C1484" s="207"/>
      <c r="D1484" s="232"/>
      <c r="E1484" s="232"/>
      <c r="F1484" s="209"/>
      <c r="G1484" s="209"/>
      <c r="H1484" s="209"/>
      <c r="I1484" s="209"/>
      <c r="J1484" s="209"/>
      <c r="K1484" s="209"/>
      <c r="L1484" s="209"/>
      <c r="M1484" s="207"/>
      <c r="N1484" s="209"/>
      <c r="O1484" s="209"/>
      <c r="P1484" s="209"/>
      <c r="Q1484" s="209"/>
      <c r="R1484" s="209"/>
      <c r="S1484" s="210"/>
    </row>
    <row r="1485" spans="1:19" s="14" customFormat="1" ht="57" x14ac:dyDescent="0.7">
      <c r="A1485" s="248"/>
      <c r="B1485" s="214"/>
      <c r="C1485" s="207"/>
      <c r="D1485" s="232"/>
      <c r="E1485" s="232"/>
      <c r="F1485" s="209"/>
      <c r="G1485" s="209"/>
      <c r="H1485" s="209"/>
      <c r="I1485" s="209"/>
      <c r="J1485" s="209"/>
      <c r="K1485" s="209"/>
      <c r="L1485" s="209"/>
      <c r="M1485" s="207"/>
      <c r="N1485" s="209"/>
      <c r="O1485" s="209"/>
      <c r="P1485" s="209"/>
      <c r="Q1485" s="209"/>
      <c r="R1485" s="209"/>
      <c r="S1485" s="210"/>
    </row>
    <row r="1486" spans="1:19" s="14" customFormat="1" ht="57" x14ac:dyDescent="0.7">
      <c r="A1486" s="248"/>
      <c r="B1486" s="214"/>
      <c r="C1486" s="207"/>
      <c r="D1486" s="232"/>
      <c r="E1486" s="232"/>
      <c r="F1486" s="209"/>
      <c r="G1486" s="209"/>
      <c r="H1486" s="209"/>
      <c r="I1486" s="209"/>
      <c r="J1486" s="209"/>
      <c r="K1486" s="209"/>
      <c r="L1486" s="209"/>
      <c r="M1486" s="207"/>
      <c r="N1486" s="209"/>
      <c r="O1486" s="209"/>
      <c r="P1486" s="209"/>
      <c r="Q1486" s="209"/>
      <c r="R1486" s="209"/>
      <c r="S1486" s="210"/>
    </row>
    <row r="1487" spans="1:19" s="14" customFormat="1" ht="57" x14ac:dyDescent="0.7">
      <c r="A1487" s="248"/>
      <c r="B1487" s="214"/>
      <c r="C1487" s="207"/>
      <c r="D1487" s="232"/>
      <c r="E1487" s="232"/>
      <c r="F1487" s="209"/>
      <c r="G1487" s="209"/>
      <c r="H1487" s="209"/>
      <c r="I1487" s="209"/>
      <c r="J1487" s="209"/>
      <c r="K1487" s="209"/>
      <c r="L1487" s="209"/>
      <c r="M1487" s="207"/>
      <c r="N1487" s="209"/>
      <c r="O1487" s="209"/>
      <c r="P1487" s="209"/>
      <c r="Q1487" s="209"/>
      <c r="R1487" s="209"/>
      <c r="S1487" s="210"/>
    </row>
    <row r="1488" spans="1:19" s="14" customFormat="1" ht="57" x14ac:dyDescent="0.7">
      <c r="A1488" s="248"/>
      <c r="B1488" s="214"/>
      <c r="C1488" s="207"/>
      <c r="D1488" s="232"/>
      <c r="E1488" s="232"/>
      <c r="F1488" s="209"/>
      <c r="G1488" s="209"/>
      <c r="H1488" s="209"/>
      <c r="I1488" s="209"/>
      <c r="J1488" s="209"/>
      <c r="K1488" s="209"/>
      <c r="L1488" s="209"/>
      <c r="M1488" s="207"/>
      <c r="N1488" s="209"/>
      <c r="O1488" s="209"/>
      <c r="P1488" s="209"/>
      <c r="Q1488" s="209"/>
      <c r="R1488" s="209"/>
      <c r="S1488" s="210"/>
    </row>
    <row r="1489" spans="1:19" s="14" customFormat="1" ht="57" x14ac:dyDescent="0.7">
      <c r="A1489" s="248"/>
      <c r="B1489" s="214"/>
      <c r="C1489" s="207"/>
      <c r="D1489" s="232"/>
      <c r="E1489" s="232"/>
      <c r="F1489" s="209"/>
      <c r="G1489" s="209"/>
      <c r="H1489" s="209"/>
      <c r="I1489" s="209"/>
      <c r="J1489" s="209"/>
      <c r="K1489" s="209"/>
      <c r="L1489" s="209"/>
      <c r="M1489" s="207"/>
      <c r="N1489" s="209"/>
      <c r="O1489" s="209"/>
      <c r="P1489" s="209"/>
      <c r="Q1489" s="209"/>
      <c r="R1489" s="209"/>
      <c r="S1489" s="210"/>
    </row>
    <row r="1490" spans="1:19" s="14" customFormat="1" ht="57" x14ac:dyDescent="0.7">
      <c r="A1490" s="248"/>
      <c r="B1490" s="214"/>
      <c r="C1490" s="207"/>
      <c r="D1490" s="232"/>
      <c r="E1490" s="232"/>
      <c r="F1490" s="209"/>
      <c r="G1490" s="209"/>
      <c r="H1490" s="209"/>
      <c r="I1490" s="209"/>
      <c r="J1490" s="209"/>
      <c r="K1490" s="209"/>
      <c r="L1490" s="209"/>
      <c r="M1490" s="207"/>
      <c r="N1490" s="209"/>
      <c r="O1490" s="209"/>
      <c r="P1490" s="209"/>
      <c r="Q1490" s="209"/>
      <c r="R1490" s="209"/>
      <c r="S1490" s="210"/>
    </row>
    <row r="1491" spans="1:19" s="14" customFormat="1" ht="57" x14ac:dyDescent="0.7">
      <c r="A1491" s="248"/>
      <c r="B1491" s="214"/>
      <c r="C1491" s="207"/>
      <c r="D1491" s="232"/>
      <c r="E1491" s="232"/>
      <c r="F1491" s="209"/>
      <c r="G1491" s="209"/>
      <c r="H1491" s="209"/>
      <c r="I1491" s="209"/>
      <c r="J1491" s="209"/>
      <c r="K1491" s="209"/>
      <c r="L1491" s="209"/>
      <c r="M1491" s="207"/>
      <c r="N1491" s="209"/>
      <c r="O1491" s="209"/>
      <c r="P1491" s="209"/>
      <c r="Q1491" s="209"/>
      <c r="R1491" s="209"/>
      <c r="S1491" s="210"/>
    </row>
    <row r="1492" spans="1:19" s="14" customFormat="1" ht="57" x14ac:dyDescent="0.7">
      <c r="A1492" s="248"/>
      <c r="B1492" s="214"/>
      <c r="C1492" s="207"/>
      <c r="D1492" s="232"/>
      <c r="E1492" s="232"/>
      <c r="F1492" s="209"/>
      <c r="G1492" s="209"/>
      <c r="H1492" s="209"/>
      <c r="I1492" s="209"/>
      <c r="J1492" s="209"/>
      <c r="K1492" s="209"/>
      <c r="L1492" s="209"/>
      <c r="M1492" s="207"/>
      <c r="N1492" s="209"/>
      <c r="O1492" s="209"/>
      <c r="P1492" s="209"/>
      <c r="Q1492" s="209"/>
      <c r="R1492" s="209"/>
      <c r="S1492" s="210"/>
    </row>
    <row r="1493" spans="1:19" s="14" customFormat="1" ht="57" x14ac:dyDescent="0.7">
      <c r="A1493" s="248"/>
      <c r="B1493" s="214"/>
      <c r="C1493" s="207"/>
      <c r="D1493" s="232"/>
      <c r="E1493" s="232"/>
      <c r="F1493" s="209"/>
      <c r="G1493" s="209"/>
      <c r="H1493" s="209"/>
      <c r="I1493" s="209"/>
      <c r="J1493" s="209"/>
      <c r="K1493" s="209"/>
      <c r="L1493" s="209"/>
      <c r="M1493" s="207"/>
      <c r="N1493" s="209"/>
      <c r="O1493" s="209"/>
      <c r="P1493" s="209"/>
      <c r="Q1493" s="209"/>
      <c r="R1493" s="209"/>
      <c r="S1493" s="210"/>
    </row>
    <row r="1494" spans="1:19" s="14" customFormat="1" ht="57" x14ac:dyDescent="0.7">
      <c r="A1494" s="248"/>
      <c r="B1494" s="214"/>
      <c r="C1494" s="207"/>
      <c r="D1494" s="232"/>
      <c r="E1494" s="232"/>
      <c r="F1494" s="209"/>
      <c r="G1494" s="209"/>
      <c r="H1494" s="209"/>
      <c r="I1494" s="209"/>
      <c r="J1494" s="209"/>
      <c r="K1494" s="209"/>
      <c r="L1494" s="209"/>
      <c r="M1494" s="207"/>
      <c r="N1494" s="209"/>
      <c r="O1494" s="209"/>
      <c r="P1494" s="209"/>
      <c r="Q1494" s="209"/>
      <c r="R1494" s="209"/>
      <c r="S1494" s="210"/>
    </row>
    <row r="1495" spans="1:19" s="14" customFormat="1" ht="57" x14ac:dyDescent="0.7">
      <c r="A1495" s="248"/>
      <c r="B1495" s="214"/>
      <c r="C1495" s="207"/>
      <c r="D1495" s="232"/>
      <c r="E1495" s="232"/>
      <c r="F1495" s="209"/>
      <c r="G1495" s="209"/>
      <c r="H1495" s="209"/>
      <c r="I1495" s="209"/>
      <c r="J1495" s="209"/>
      <c r="K1495" s="209"/>
      <c r="L1495" s="209"/>
      <c r="M1495" s="207"/>
      <c r="N1495" s="209"/>
      <c r="O1495" s="209"/>
      <c r="P1495" s="209"/>
      <c r="Q1495" s="209"/>
      <c r="R1495" s="209"/>
      <c r="S1495" s="210"/>
    </row>
    <row r="1496" spans="1:19" s="14" customFormat="1" ht="57" x14ac:dyDescent="0.7">
      <c r="A1496" s="248"/>
      <c r="B1496" s="214"/>
      <c r="C1496" s="207"/>
      <c r="D1496" s="232"/>
      <c r="E1496" s="232"/>
      <c r="F1496" s="209"/>
      <c r="G1496" s="209"/>
      <c r="H1496" s="209"/>
      <c r="I1496" s="209"/>
      <c r="J1496" s="209"/>
      <c r="K1496" s="209"/>
      <c r="L1496" s="209"/>
      <c r="M1496" s="207"/>
      <c r="N1496" s="209"/>
      <c r="O1496" s="209"/>
      <c r="P1496" s="209"/>
      <c r="Q1496" s="209"/>
      <c r="R1496" s="209"/>
      <c r="S1496" s="210"/>
    </row>
    <row r="1497" spans="1:19" s="14" customFormat="1" ht="57" x14ac:dyDescent="0.7">
      <c r="A1497" s="248"/>
      <c r="B1497" s="214"/>
      <c r="C1497" s="207"/>
      <c r="D1497" s="232"/>
      <c r="E1497" s="232"/>
      <c r="F1497" s="209"/>
      <c r="G1497" s="209"/>
      <c r="H1497" s="209"/>
      <c r="I1497" s="209"/>
      <c r="J1497" s="209"/>
      <c r="K1497" s="209"/>
      <c r="L1497" s="209"/>
      <c r="M1497" s="207"/>
      <c r="N1497" s="209"/>
      <c r="O1497" s="209"/>
      <c r="P1497" s="209"/>
      <c r="Q1497" s="209"/>
      <c r="R1497" s="209"/>
      <c r="S1497" s="210"/>
    </row>
    <row r="1498" spans="1:19" s="14" customFormat="1" ht="57" x14ac:dyDescent="0.7">
      <c r="A1498" s="248"/>
      <c r="B1498" s="214"/>
      <c r="C1498" s="207"/>
      <c r="D1498" s="232"/>
      <c r="E1498" s="232"/>
      <c r="F1498" s="209"/>
      <c r="G1498" s="209"/>
      <c r="H1498" s="209"/>
      <c r="I1498" s="209"/>
      <c r="J1498" s="209"/>
      <c r="K1498" s="209"/>
      <c r="L1498" s="209"/>
      <c r="M1498" s="207"/>
      <c r="N1498" s="209"/>
      <c r="O1498" s="209"/>
      <c r="P1498" s="209"/>
      <c r="Q1498" s="209"/>
      <c r="R1498" s="209"/>
      <c r="S1498" s="210"/>
    </row>
    <row r="1499" spans="1:19" s="14" customFormat="1" ht="57" x14ac:dyDescent="0.7">
      <c r="A1499" s="248"/>
      <c r="B1499" s="214"/>
      <c r="C1499" s="207"/>
      <c r="D1499" s="232"/>
      <c r="E1499" s="232"/>
      <c r="F1499" s="209"/>
      <c r="G1499" s="209"/>
      <c r="H1499" s="209"/>
      <c r="I1499" s="209"/>
      <c r="J1499" s="209"/>
      <c r="K1499" s="209"/>
      <c r="L1499" s="209"/>
      <c r="M1499" s="207"/>
      <c r="N1499" s="209"/>
      <c r="O1499" s="209"/>
      <c r="P1499" s="209"/>
      <c r="Q1499" s="209"/>
      <c r="R1499" s="209"/>
      <c r="S1499" s="210"/>
    </row>
    <row r="1500" spans="1:19" s="14" customFormat="1" ht="57" x14ac:dyDescent="0.7">
      <c r="A1500" s="248"/>
      <c r="B1500" s="214"/>
      <c r="C1500" s="207"/>
      <c r="D1500" s="232"/>
      <c r="E1500" s="232"/>
      <c r="F1500" s="209"/>
      <c r="G1500" s="209"/>
      <c r="H1500" s="209"/>
      <c r="I1500" s="209"/>
      <c r="J1500" s="209"/>
      <c r="K1500" s="209"/>
      <c r="L1500" s="209"/>
      <c r="M1500" s="207"/>
      <c r="N1500" s="209"/>
      <c r="O1500" s="209"/>
      <c r="P1500" s="209"/>
      <c r="Q1500" s="209"/>
      <c r="R1500" s="209"/>
      <c r="S1500" s="210"/>
    </row>
    <row r="1501" spans="1:19" s="14" customFormat="1" ht="57" x14ac:dyDescent="0.7">
      <c r="A1501" s="248"/>
      <c r="B1501" s="214"/>
      <c r="C1501" s="207"/>
      <c r="D1501" s="232"/>
      <c r="E1501" s="232"/>
      <c r="F1501" s="209"/>
      <c r="G1501" s="209"/>
      <c r="H1501" s="209"/>
      <c r="I1501" s="209"/>
      <c r="J1501" s="209"/>
      <c r="K1501" s="209"/>
      <c r="L1501" s="209"/>
      <c r="M1501" s="207"/>
      <c r="N1501" s="209"/>
      <c r="O1501" s="209"/>
      <c r="P1501" s="209"/>
      <c r="Q1501" s="209"/>
      <c r="R1501" s="209"/>
      <c r="S1501" s="210"/>
    </row>
    <row r="1502" spans="1:19" s="14" customFormat="1" ht="57" x14ac:dyDescent="0.7">
      <c r="A1502" s="248"/>
      <c r="B1502" s="214"/>
      <c r="C1502" s="207"/>
      <c r="D1502" s="232"/>
      <c r="E1502" s="232"/>
      <c r="F1502" s="209"/>
      <c r="G1502" s="209"/>
      <c r="H1502" s="209"/>
      <c r="I1502" s="209"/>
      <c r="J1502" s="209"/>
      <c r="K1502" s="209"/>
      <c r="L1502" s="209"/>
      <c r="M1502" s="207"/>
      <c r="N1502" s="209"/>
      <c r="O1502" s="209"/>
      <c r="P1502" s="209"/>
      <c r="Q1502" s="209"/>
      <c r="R1502" s="209"/>
      <c r="S1502" s="210"/>
    </row>
    <row r="1503" spans="1:19" s="14" customFormat="1" ht="57" x14ac:dyDescent="0.7">
      <c r="A1503" s="248"/>
      <c r="B1503" s="214"/>
      <c r="C1503" s="207"/>
      <c r="D1503" s="232"/>
      <c r="E1503" s="232"/>
      <c r="F1503" s="209"/>
      <c r="G1503" s="209"/>
      <c r="H1503" s="209"/>
      <c r="I1503" s="209"/>
      <c r="J1503" s="209"/>
      <c r="K1503" s="209"/>
      <c r="L1503" s="209"/>
      <c r="M1503" s="207"/>
      <c r="N1503" s="209"/>
      <c r="O1503" s="209"/>
      <c r="P1503" s="209"/>
      <c r="Q1503" s="209"/>
      <c r="R1503" s="209"/>
      <c r="S1503" s="210"/>
    </row>
    <row r="1504" spans="1:19" s="14" customFormat="1" ht="57" x14ac:dyDescent="0.7">
      <c r="A1504" s="248"/>
      <c r="B1504" s="214"/>
      <c r="C1504" s="207"/>
      <c r="D1504" s="232"/>
      <c r="E1504" s="232"/>
      <c r="F1504" s="209"/>
      <c r="G1504" s="209"/>
      <c r="H1504" s="209"/>
      <c r="I1504" s="209"/>
      <c r="J1504" s="209"/>
      <c r="K1504" s="209"/>
      <c r="L1504" s="209"/>
      <c r="M1504" s="207"/>
      <c r="N1504" s="209"/>
      <c r="O1504" s="209"/>
      <c r="P1504" s="209"/>
      <c r="Q1504" s="209"/>
      <c r="R1504" s="209"/>
      <c r="S1504" s="210"/>
    </row>
    <row r="1505" spans="1:19" s="14" customFormat="1" ht="57" x14ac:dyDescent="0.7">
      <c r="A1505" s="248"/>
      <c r="B1505" s="214"/>
      <c r="C1505" s="207"/>
      <c r="D1505" s="232"/>
      <c r="E1505" s="232"/>
      <c r="F1505" s="209"/>
      <c r="G1505" s="209"/>
      <c r="H1505" s="209"/>
      <c r="I1505" s="209"/>
      <c r="J1505" s="209"/>
      <c r="K1505" s="209"/>
      <c r="L1505" s="209"/>
      <c r="M1505" s="207"/>
      <c r="N1505" s="209"/>
      <c r="O1505" s="209"/>
      <c r="P1505" s="209"/>
      <c r="Q1505" s="209"/>
      <c r="R1505" s="209"/>
      <c r="S1505" s="210"/>
    </row>
    <row r="1506" spans="1:19" s="14" customFormat="1" ht="57" x14ac:dyDescent="0.7">
      <c r="A1506" s="248"/>
      <c r="B1506" s="214"/>
      <c r="C1506" s="207"/>
      <c r="D1506" s="232"/>
      <c r="E1506" s="232"/>
      <c r="F1506" s="209"/>
      <c r="G1506" s="209"/>
      <c r="H1506" s="209"/>
      <c r="I1506" s="209"/>
      <c r="J1506" s="209"/>
      <c r="K1506" s="209"/>
      <c r="L1506" s="209"/>
      <c r="M1506" s="207"/>
      <c r="N1506" s="209"/>
      <c r="O1506" s="209"/>
      <c r="P1506" s="209"/>
      <c r="Q1506" s="209"/>
      <c r="R1506" s="209"/>
      <c r="S1506" s="210"/>
    </row>
    <row r="1507" spans="1:19" s="14" customFormat="1" ht="57" x14ac:dyDescent="0.7">
      <c r="A1507" s="248"/>
      <c r="B1507" s="214"/>
      <c r="C1507" s="207"/>
      <c r="D1507" s="232"/>
      <c r="E1507" s="232"/>
      <c r="F1507" s="209"/>
      <c r="G1507" s="209"/>
      <c r="H1507" s="209"/>
      <c r="I1507" s="209"/>
      <c r="J1507" s="209"/>
      <c r="K1507" s="209"/>
      <c r="L1507" s="209"/>
      <c r="M1507" s="207"/>
      <c r="N1507" s="209"/>
      <c r="O1507" s="209"/>
      <c r="P1507" s="209"/>
      <c r="Q1507" s="209"/>
      <c r="R1507" s="209"/>
      <c r="S1507" s="210"/>
    </row>
    <row r="1508" spans="1:19" s="14" customFormat="1" ht="57" x14ac:dyDescent="0.7">
      <c r="A1508" s="248"/>
      <c r="B1508" s="214"/>
      <c r="C1508" s="207"/>
      <c r="D1508" s="232"/>
      <c r="E1508" s="232"/>
      <c r="F1508" s="209"/>
      <c r="G1508" s="209"/>
      <c r="H1508" s="209"/>
      <c r="I1508" s="209"/>
      <c r="J1508" s="209"/>
      <c r="K1508" s="209"/>
      <c r="L1508" s="209"/>
      <c r="M1508" s="207"/>
      <c r="N1508" s="209"/>
      <c r="O1508" s="209"/>
      <c r="P1508" s="209"/>
      <c r="Q1508" s="209"/>
      <c r="R1508" s="209"/>
      <c r="S1508" s="210"/>
    </row>
    <row r="1509" spans="1:19" s="14" customFormat="1" ht="57" x14ac:dyDescent="0.7">
      <c r="A1509" s="248"/>
      <c r="B1509" s="214"/>
      <c r="C1509" s="207"/>
      <c r="D1509" s="232"/>
      <c r="E1509" s="232"/>
      <c r="F1509" s="209"/>
      <c r="G1509" s="209"/>
      <c r="H1509" s="209"/>
      <c r="I1509" s="209"/>
      <c r="J1509" s="209"/>
      <c r="K1509" s="209"/>
      <c r="L1509" s="209"/>
      <c r="M1509" s="207"/>
      <c r="N1509" s="209"/>
      <c r="O1509" s="209"/>
      <c r="P1509" s="209"/>
      <c r="Q1509" s="209"/>
      <c r="R1509" s="209"/>
      <c r="S1509" s="210"/>
    </row>
    <row r="1510" spans="1:19" s="14" customFormat="1" ht="57" x14ac:dyDescent="0.7">
      <c r="A1510" s="248"/>
      <c r="B1510" s="214"/>
      <c r="C1510" s="207"/>
      <c r="D1510" s="232"/>
      <c r="E1510" s="232"/>
      <c r="F1510" s="209"/>
      <c r="G1510" s="209"/>
      <c r="H1510" s="209"/>
      <c r="I1510" s="209"/>
      <c r="J1510" s="209"/>
      <c r="K1510" s="209"/>
      <c r="L1510" s="209"/>
      <c r="M1510" s="207"/>
      <c r="N1510" s="209"/>
      <c r="O1510" s="209"/>
      <c r="P1510" s="209"/>
      <c r="Q1510" s="209"/>
      <c r="R1510" s="209"/>
      <c r="S1510" s="210"/>
    </row>
    <row r="1511" spans="1:19" s="14" customFormat="1" ht="57" x14ac:dyDescent="0.7">
      <c r="A1511" s="248"/>
      <c r="B1511" s="214"/>
      <c r="C1511" s="207"/>
      <c r="D1511" s="232"/>
      <c r="E1511" s="232"/>
      <c r="F1511" s="209"/>
      <c r="G1511" s="209"/>
      <c r="H1511" s="209"/>
      <c r="I1511" s="209"/>
      <c r="J1511" s="209"/>
      <c r="K1511" s="209"/>
      <c r="L1511" s="209"/>
      <c r="M1511" s="207"/>
      <c r="N1511" s="209"/>
      <c r="O1511" s="209"/>
      <c r="P1511" s="209"/>
      <c r="Q1511" s="209"/>
      <c r="R1511" s="209"/>
      <c r="S1511" s="210"/>
    </row>
    <row r="1512" spans="1:19" s="14" customFormat="1" ht="57" x14ac:dyDescent="0.7">
      <c r="A1512" s="248"/>
      <c r="B1512" s="214"/>
      <c r="C1512" s="207"/>
      <c r="D1512" s="232"/>
      <c r="E1512" s="232"/>
      <c r="F1512" s="209"/>
      <c r="G1512" s="209"/>
      <c r="H1512" s="209"/>
      <c r="I1512" s="209"/>
      <c r="J1512" s="209"/>
      <c r="K1512" s="209"/>
      <c r="L1512" s="209"/>
      <c r="M1512" s="207"/>
      <c r="N1512" s="209"/>
      <c r="O1512" s="209"/>
      <c r="P1512" s="209"/>
      <c r="Q1512" s="209"/>
      <c r="R1512" s="209"/>
      <c r="S1512" s="210"/>
    </row>
    <row r="1513" spans="1:19" s="14" customFormat="1" ht="57" x14ac:dyDescent="0.7">
      <c r="A1513" s="248"/>
      <c r="B1513" s="214"/>
      <c r="C1513" s="207"/>
      <c r="D1513" s="232"/>
      <c r="E1513" s="232"/>
      <c r="F1513" s="209"/>
      <c r="G1513" s="209"/>
      <c r="H1513" s="209"/>
      <c r="I1513" s="209"/>
      <c r="J1513" s="209"/>
      <c r="K1513" s="209"/>
      <c r="L1513" s="209"/>
      <c r="M1513" s="207"/>
      <c r="N1513" s="209"/>
      <c r="O1513" s="209"/>
      <c r="P1513" s="209"/>
      <c r="Q1513" s="209"/>
      <c r="R1513" s="209"/>
      <c r="S1513" s="210"/>
    </row>
    <row r="1514" spans="1:19" s="14" customFormat="1" ht="57" x14ac:dyDescent="0.7">
      <c r="A1514" s="248"/>
      <c r="B1514" s="214"/>
      <c r="C1514" s="207"/>
      <c r="D1514" s="232"/>
      <c r="E1514" s="232"/>
      <c r="F1514" s="209"/>
      <c r="G1514" s="209"/>
      <c r="H1514" s="209"/>
      <c r="I1514" s="209"/>
      <c r="J1514" s="209"/>
      <c r="K1514" s="209"/>
      <c r="L1514" s="209"/>
      <c r="M1514" s="207"/>
      <c r="N1514" s="209"/>
      <c r="O1514" s="209"/>
      <c r="P1514" s="209"/>
      <c r="Q1514" s="209"/>
      <c r="R1514" s="209"/>
      <c r="S1514" s="210"/>
    </row>
    <row r="1515" spans="1:19" s="14" customFormat="1" ht="57" x14ac:dyDescent="0.7">
      <c r="A1515" s="248"/>
      <c r="B1515" s="214"/>
      <c r="C1515" s="207"/>
      <c r="D1515" s="232"/>
      <c r="E1515" s="232"/>
      <c r="F1515" s="209"/>
      <c r="G1515" s="209"/>
      <c r="H1515" s="209"/>
      <c r="I1515" s="209"/>
      <c r="J1515" s="209"/>
      <c r="K1515" s="209"/>
      <c r="L1515" s="209"/>
      <c r="M1515" s="207"/>
      <c r="N1515" s="209"/>
      <c r="O1515" s="209"/>
      <c r="P1515" s="209"/>
      <c r="Q1515" s="209"/>
      <c r="R1515" s="209"/>
      <c r="S1515" s="210"/>
    </row>
    <row r="1516" spans="1:19" s="14" customFormat="1" ht="57" x14ac:dyDescent="0.7">
      <c r="A1516" s="248"/>
      <c r="B1516" s="214"/>
      <c r="C1516" s="207"/>
      <c r="D1516" s="232"/>
      <c r="E1516" s="232"/>
      <c r="F1516" s="209"/>
      <c r="G1516" s="209"/>
      <c r="H1516" s="209"/>
      <c r="I1516" s="209"/>
      <c r="J1516" s="209"/>
      <c r="K1516" s="209"/>
      <c r="L1516" s="209"/>
      <c r="M1516" s="207"/>
      <c r="N1516" s="209"/>
      <c r="O1516" s="209"/>
      <c r="P1516" s="209"/>
      <c r="Q1516" s="209"/>
      <c r="R1516" s="209"/>
      <c r="S1516" s="210"/>
    </row>
    <row r="1517" spans="1:19" s="14" customFormat="1" ht="57" x14ac:dyDescent="0.7">
      <c r="A1517" s="248"/>
      <c r="B1517" s="214"/>
      <c r="C1517" s="207"/>
      <c r="D1517" s="232"/>
      <c r="E1517" s="232"/>
      <c r="F1517" s="209"/>
      <c r="G1517" s="209"/>
      <c r="H1517" s="209"/>
      <c r="I1517" s="209"/>
      <c r="J1517" s="209"/>
      <c r="K1517" s="209"/>
      <c r="L1517" s="209"/>
      <c r="M1517" s="207"/>
      <c r="N1517" s="209"/>
      <c r="O1517" s="209"/>
      <c r="P1517" s="209"/>
      <c r="Q1517" s="209"/>
      <c r="R1517" s="209"/>
      <c r="S1517" s="210"/>
    </row>
    <row r="1518" spans="1:19" s="14" customFormat="1" ht="57" x14ac:dyDescent="0.7">
      <c r="A1518" s="248"/>
      <c r="B1518" s="214"/>
      <c r="C1518" s="207"/>
      <c r="D1518" s="232"/>
      <c r="E1518" s="232"/>
      <c r="F1518" s="209"/>
      <c r="G1518" s="209"/>
      <c r="H1518" s="209"/>
      <c r="I1518" s="209"/>
      <c r="J1518" s="209"/>
      <c r="K1518" s="209"/>
      <c r="L1518" s="209"/>
      <c r="M1518" s="207"/>
      <c r="N1518" s="209"/>
      <c r="O1518" s="209"/>
      <c r="P1518" s="209"/>
      <c r="Q1518" s="209"/>
      <c r="R1518" s="209"/>
      <c r="S1518" s="210"/>
    </row>
    <row r="1519" spans="1:19" s="14" customFormat="1" ht="57" x14ac:dyDescent="0.7">
      <c r="A1519" s="248"/>
      <c r="B1519" s="214"/>
      <c r="C1519" s="207"/>
      <c r="D1519" s="232"/>
      <c r="E1519" s="232"/>
      <c r="F1519" s="209"/>
      <c r="G1519" s="209"/>
      <c r="H1519" s="209"/>
      <c r="I1519" s="209"/>
      <c r="J1519" s="209"/>
      <c r="K1519" s="209"/>
      <c r="L1519" s="209"/>
      <c r="M1519" s="207"/>
      <c r="N1519" s="209"/>
      <c r="O1519" s="209"/>
      <c r="P1519" s="209"/>
      <c r="Q1519" s="209"/>
      <c r="R1519" s="209"/>
      <c r="S1519" s="210"/>
    </row>
    <row r="1520" spans="1:19" s="14" customFormat="1" ht="57" x14ac:dyDescent="0.7">
      <c r="A1520" s="248"/>
      <c r="B1520" s="214"/>
      <c r="C1520" s="207"/>
      <c r="D1520" s="232"/>
      <c r="E1520" s="232"/>
      <c r="F1520" s="209"/>
      <c r="G1520" s="209"/>
      <c r="H1520" s="209"/>
      <c r="I1520" s="209"/>
      <c r="J1520" s="209"/>
      <c r="K1520" s="209"/>
      <c r="L1520" s="209"/>
      <c r="M1520" s="207"/>
      <c r="N1520" s="209"/>
      <c r="O1520" s="209"/>
      <c r="P1520" s="209"/>
      <c r="Q1520" s="209"/>
      <c r="R1520" s="209"/>
      <c r="S1520" s="210"/>
    </row>
    <row r="1521" spans="1:19" s="14" customFormat="1" ht="57" x14ac:dyDescent="0.7">
      <c r="A1521" s="248"/>
      <c r="B1521" s="214"/>
      <c r="C1521" s="207"/>
      <c r="D1521" s="232"/>
      <c r="E1521" s="232"/>
      <c r="F1521" s="209"/>
      <c r="G1521" s="209"/>
      <c r="H1521" s="209"/>
      <c r="I1521" s="209"/>
      <c r="J1521" s="209"/>
      <c r="K1521" s="209"/>
      <c r="L1521" s="209"/>
      <c r="M1521" s="207"/>
      <c r="N1521" s="209"/>
      <c r="O1521" s="209"/>
      <c r="P1521" s="209"/>
      <c r="Q1521" s="209"/>
      <c r="R1521" s="209"/>
      <c r="S1521" s="210"/>
    </row>
    <row r="1522" spans="1:19" s="14" customFormat="1" ht="57" x14ac:dyDescent="0.7">
      <c r="A1522" s="248"/>
      <c r="B1522" s="214"/>
      <c r="C1522" s="207"/>
      <c r="D1522" s="232"/>
      <c r="E1522" s="232"/>
      <c r="F1522" s="209"/>
      <c r="G1522" s="209"/>
      <c r="H1522" s="209"/>
      <c r="I1522" s="209"/>
      <c r="J1522" s="209"/>
      <c r="K1522" s="209"/>
      <c r="L1522" s="209"/>
      <c r="M1522" s="207"/>
      <c r="N1522" s="209"/>
      <c r="O1522" s="209"/>
      <c r="P1522" s="209"/>
      <c r="Q1522" s="209"/>
      <c r="R1522" s="209"/>
      <c r="S1522" s="210"/>
    </row>
    <row r="1523" spans="1:19" s="14" customFormat="1" ht="57" x14ac:dyDescent="0.7">
      <c r="A1523" s="248"/>
      <c r="B1523" s="214"/>
      <c r="C1523" s="207"/>
      <c r="D1523" s="232"/>
      <c r="E1523" s="232"/>
      <c r="F1523" s="209"/>
      <c r="G1523" s="209"/>
      <c r="H1523" s="209"/>
      <c r="I1523" s="209"/>
      <c r="J1523" s="209"/>
      <c r="K1523" s="209"/>
      <c r="L1523" s="209"/>
      <c r="M1523" s="207"/>
      <c r="N1523" s="209"/>
      <c r="O1523" s="209"/>
      <c r="P1523" s="209"/>
      <c r="Q1523" s="209"/>
      <c r="R1523" s="209"/>
      <c r="S1523" s="210"/>
    </row>
    <row r="1524" spans="1:19" s="14" customFormat="1" ht="57" x14ac:dyDescent="0.7">
      <c r="A1524" s="248"/>
      <c r="B1524" s="214"/>
      <c r="C1524" s="207"/>
      <c r="D1524" s="232"/>
      <c r="E1524" s="232"/>
      <c r="F1524" s="209"/>
      <c r="G1524" s="209"/>
      <c r="H1524" s="209"/>
      <c r="I1524" s="209"/>
      <c r="J1524" s="209"/>
      <c r="K1524" s="209"/>
      <c r="L1524" s="209"/>
      <c r="M1524" s="207"/>
      <c r="N1524" s="209"/>
      <c r="O1524" s="209"/>
      <c r="P1524" s="209"/>
      <c r="Q1524" s="209"/>
      <c r="R1524" s="209"/>
      <c r="S1524" s="210"/>
    </row>
    <row r="1525" spans="1:19" s="14" customFormat="1" ht="57" x14ac:dyDescent="0.7">
      <c r="A1525" s="248"/>
      <c r="B1525" s="214"/>
      <c r="C1525" s="207"/>
      <c r="D1525" s="232"/>
      <c r="E1525" s="232"/>
      <c r="F1525" s="209"/>
      <c r="G1525" s="209"/>
      <c r="H1525" s="209"/>
      <c r="I1525" s="209"/>
      <c r="J1525" s="209"/>
      <c r="K1525" s="209"/>
      <c r="L1525" s="209"/>
      <c r="M1525" s="207"/>
      <c r="N1525" s="209"/>
      <c r="O1525" s="209"/>
      <c r="P1525" s="209"/>
      <c r="Q1525" s="209"/>
      <c r="R1525" s="209"/>
      <c r="S1525" s="210"/>
    </row>
    <row r="1526" spans="1:19" s="14" customFormat="1" ht="57" x14ac:dyDescent="0.7">
      <c r="A1526" s="248"/>
      <c r="B1526" s="214"/>
      <c r="C1526" s="207"/>
      <c r="D1526" s="232"/>
      <c r="E1526" s="232"/>
      <c r="F1526" s="209"/>
      <c r="G1526" s="209"/>
      <c r="H1526" s="209"/>
      <c r="I1526" s="209"/>
      <c r="J1526" s="209"/>
      <c r="K1526" s="209"/>
      <c r="L1526" s="209"/>
      <c r="M1526" s="207"/>
      <c r="N1526" s="209"/>
      <c r="O1526" s="209"/>
      <c r="P1526" s="209"/>
      <c r="Q1526" s="209"/>
      <c r="R1526" s="209"/>
      <c r="S1526" s="210"/>
    </row>
    <row r="1527" spans="1:19" s="14" customFormat="1" ht="57" x14ac:dyDescent="0.7">
      <c r="A1527" s="248"/>
      <c r="B1527" s="214"/>
      <c r="C1527" s="207"/>
      <c r="D1527" s="232"/>
      <c r="E1527" s="232"/>
      <c r="F1527" s="209"/>
      <c r="G1527" s="209"/>
      <c r="H1527" s="209"/>
      <c r="I1527" s="209"/>
      <c r="J1527" s="209"/>
      <c r="K1527" s="209"/>
      <c r="L1527" s="209"/>
      <c r="M1527" s="207"/>
      <c r="N1527" s="209"/>
      <c r="O1527" s="209"/>
      <c r="P1527" s="209"/>
      <c r="Q1527" s="209"/>
      <c r="R1527" s="209"/>
      <c r="S1527" s="210"/>
    </row>
    <row r="1528" spans="1:19" s="14" customFormat="1" ht="57" x14ac:dyDescent="0.7">
      <c r="A1528" s="248"/>
      <c r="B1528" s="214"/>
      <c r="C1528" s="207"/>
      <c r="D1528" s="232"/>
      <c r="E1528" s="232"/>
      <c r="F1528" s="209"/>
      <c r="G1528" s="209"/>
      <c r="H1528" s="209"/>
      <c r="I1528" s="209"/>
      <c r="J1528" s="209"/>
      <c r="K1528" s="209"/>
      <c r="L1528" s="209"/>
      <c r="M1528" s="207"/>
      <c r="N1528" s="209"/>
      <c r="O1528" s="209"/>
      <c r="P1528" s="209"/>
      <c r="Q1528" s="209"/>
      <c r="R1528" s="209"/>
      <c r="S1528" s="210"/>
    </row>
    <row r="1529" spans="1:19" s="14" customFormat="1" ht="57" x14ac:dyDescent="0.7">
      <c r="A1529" s="248"/>
      <c r="B1529" s="214"/>
      <c r="C1529" s="207"/>
      <c r="D1529" s="232"/>
      <c r="E1529" s="232"/>
      <c r="F1529" s="209"/>
      <c r="G1529" s="209"/>
      <c r="H1529" s="209"/>
      <c r="I1529" s="209"/>
      <c r="J1529" s="209"/>
      <c r="K1529" s="209"/>
      <c r="L1529" s="209"/>
      <c r="M1529" s="207"/>
      <c r="N1529" s="209"/>
      <c r="O1529" s="209"/>
      <c r="P1529" s="209"/>
      <c r="Q1529" s="209"/>
      <c r="R1529" s="209"/>
      <c r="S1529" s="210"/>
    </row>
    <row r="1530" spans="1:19" s="14" customFormat="1" ht="57" x14ac:dyDescent="0.7">
      <c r="A1530" s="248"/>
      <c r="B1530" s="214"/>
      <c r="C1530" s="207"/>
      <c r="D1530" s="232"/>
      <c r="E1530" s="232"/>
      <c r="F1530" s="209"/>
      <c r="G1530" s="209"/>
      <c r="H1530" s="209"/>
      <c r="I1530" s="209"/>
      <c r="J1530" s="209"/>
      <c r="K1530" s="209"/>
      <c r="L1530" s="209"/>
      <c r="M1530" s="207"/>
      <c r="N1530" s="209"/>
      <c r="O1530" s="209"/>
      <c r="P1530" s="209"/>
      <c r="Q1530" s="209"/>
      <c r="R1530" s="209"/>
      <c r="S1530" s="210"/>
    </row>
    <row r="1531" spans="1:19" s="14" customFormat="1" ht="57" x14ac:dyDescent="0.7">
      <c r="A1531" s="248"/>
      <c r="B1531" s="214"/>
      <c r="C1531" s="207"/>
      <c r="D1531" s="232"/>
      <c r="E1531" s="232"/>
      <c r="F1531" s="209"/>
      <c r="G1531" s="209"/>
      <c r="H1531" s="209"/>
      <c r="I1531" s="209"/>
      <c r="J1531" s="209"/>
      <c r="K1531" s="209"/>
      <c r="L1531" s="209"/>
      <c r="M1531" s="207"/>
      <c r="N1531" s="209"/>
      <c r="O1531" s="209"/>
      <c r="P1531" s="209"/>
      <c r="Q1531" s="209"/>
      <c r="R1531" s="209"/>
      <c r="S1531" s="210"/>
    </row>
    <row r="1532" spans="1:19" s="14" customFormat="1" ht="57" x14ac:dyDescent="0.7">
      <c r="A1532" s="248"/>
      <c r="B1532" s="214"/>
      <c r="C1532" s="207"/>
      <c r="D1532" s="232"/>
      <c r="E1532" s="232"/>
      <c r="F1532" s="209"/>
      <c r="G1532" s="209"/>
      <c r="H1532" s="209"/>
      <c r="I1532" s="209"/>
      <c r="J1532" s="209"/>
      <c r="K1532" s="209"/>
      <c r="L1532" s="209"/>
      <c r="M1532" s="207"/>
      <c r="N1532" s="209"/>
      <c r="O1532" s="209"/>
      <c r="P1532" s="209"/>
      <c r="Q1532" s="209"/>
      <c r="R1532" s="209"/>
      <c r="S1532" s="210"/>
    </row>
    <row r="1533" spans="1:19" s="14" customFormat="1" ht="57" x14ac:dyDescent="0.7">
      <c r="A1533" s="248"/>
      <c r="B1533" s="214"/>
      <c r="C1533" s="207"/>
      <c r="D1533" s="232"/>
      <c r="E1533" s="232"/>
      <c r="F1533" s="209"/>
      <c r="G1533" s="209"/>
      <c r="H1533" s="209"/>
      <c r="I1533" s="209"/>
      <c r="J1533" s="209"/>
      <c r="K1533" s="209"/>
      <c r="L1533" s="209"/>
      <c r="M1533" s="207"/>
      <c r="N1533" s="209"/>
      <c r="O1533" s="209"/>
      <c r="P1533" s="209"/>
      <c r="Q1533" s="209"/>
      <c r="R1533" s="209"/>
      <c r="S1533" s="210"/>
    </row>
    <row r="1534" spans="1:19" s="14" customFormat="1" ht="57" x14ac:dyDescent="0.7">
      <c r="A1534" s="248"/>
      <c r="B1534" s="214"/>
      <c r="C1534" s="207"/>
      <c r="D1534" s="232"/>
      <c r="E1534" s="232"/>
      <c r="F1534" s="209"/>
      <c r="G1534" s="209"/>
      <c r="H1534" s="209"/>
      <c r="I1534" s="209"/>
      <c r="J1534" s="209"/>
      <c r="K1534" s="209"/>
      <c r="L1534" s="209"/>
      <c r="M1534" s="207"/>
      <c r="N1534" s="209"/>
      <c r="O1534" s="209"/>
      <c r="P1534" s="209"/>
      <c r="Q1534" s="209"/>
      <c r="R1534" s="209"/>
      <c r="S1534" s="210"/>
    </row>
    <row r="1535" spans="1:19" s="14" customFormat="1" ht="57" x14ac:dyDescent="0.7">
      <c r="A1535" s="248"/>
      <c r="B1535" s="214"/>
      <c r="C1535" s="207"/>
      <c r="D1535" s="232"/>
      <c r="E1535" s="232"/>
      <c r="F1535" s="209"/>
      <c r="G1535" s="209"/>
      <c r="H1535" s="209"/>
      <c r="I1535" s="209"/>
      <c r="J1535" s="209"/>
      <c r="K1535" s="209"/>
      <c r="L1535" s="209"/>
      <c r="M1535" s="207"/>
      <c r="N1535" s="209"/>
      <c r="O1535" s="209"/>
      <c r="P1535" s="209"/>
      <c r="Q1535" s="209"/>
      <c r="R1535" s="209"/>
      <c r="S1535" s="210"/>
    </row>
    <row r="1536" spans="1:19" s="14" customFormat="1" ht="57" x14ac:dyDescent="0.7">
      <c r="A1536" s="248"/>
      <c r="B1536" s="214"/>
      <c r="C1536" s="207"/>
      <c r="D1536" s="232"/>
      <c r="E1536" s="232"/>
      <c r="F1536" s="209"/>
      <c r="G1536" s="209"/>
      <c r="H1536" s="209"/>
      <c r="I1536" s="209"/>
      <c r="J1536" s="209"/>
      <c r="K1536" s="209"/>
      <c r="L1536" s="209"/>
      <c r="M1536" s="207"/>
      <c r="N1536" s="209"/>
      <c r="O1536" s="209"/>
      <c r="P1536" s="209"/>
      <c r="Q1536" s="209"/>
      <c r="R1536" s="209"/>
      <c r="S1536" s="210"/>
    </row>
    <row r="1537" spans="1:19" s="14" customFormat="1" ht="57" x14ac:dyDescent="0.7">
      <c r="A1537" s="248"/>
      <c r="B1537" s="214"/>
      <c r="C1537" s="207"/>
      <c r="D1537" s="232"/>
      <c r="E1537" s="232"/>
      <c r="F1537" s="209"/>
      <c r="G1537" s="209"/>
      <c r="H1537" s="209"/>
      <c r="I1537" s="209"/>
      <c r="J1537" s="209"/>
      <c r="K1537" s="209"/>
      <c r="L1537" s="209"/>
      <c r="M1537" s="207"/>
      <c r="N1537" s="209"/>
      <c r="O1537" s="209"/>
      <c r="P1537" s="209"/>
      <c r="Q1537" s="209"/>
      <c r="R1537" s="209"/>
      <c r="S1537" s="210"/>
    </row>
    <row r="1538" spans="1:19" s="14" customFormat="1" ht="57" x14ac:dyDescent="0.7">
      <c r="A1538" s="248"/>
      <c r="B1538" s="214"/>
      <c r="C1538" s="207"/>
      <c r="D1538" s="232"/>
      <c r="E1538" s="232"/>
      <c r="F1538" s="209"/>
      <c r="G1538" s="209"/>
      <c r="H1538" s="209"/>
      <c r="I1538" s="209"/>
      <c r="J1538" s="209"/>
      <c r="K1538" s="209"/>
      <c r="L1538" s="209"/>
      <c r="M1538" s="207"/>
      <c r="N1538" s="209"/>
      <c r="O1538" s="209"/>
      <c r="P1538" s="209"/>
      <c r="Q1538" s="209"/>
      <c r="R1538" s="209"/>
      <c r="S1538" s="210"/>
    </row>
    <row r="1539" spans="1:19" s="14" customFormat="1" ht="57" x14ac:dyDescent="0.7">
      <c r="A1539" s="248"/>
      <c r="B1539" s="214"/>
      <c r="C1539" s="207"/>
      <c r="D1539" s="232"/>
      <c r="E1539" s="232"/>
      <c r="F1539" s="209"/>
      <c r="G1539" s="209"/>
      <c r="H1539" s="209"/>
      <c r="I1539" s="209"/>
      <c r="J1539" s="209"/>
      <c r="K1539" s="209"/>
      <c r="L1539" s="209"/>
      <c r="M1539" s="207"/>
      <c r="N1539" s="209"/>
      <c r="O1539" s="209"/>
      <c r="P1539" s="209"/>
      <c r="Q1539" s="209"/>
      <c r="R1539" s="209"/>
      <c r="S1539" s="210"/>
    </row>
    <row r="1540" spans="1:19" s="14" customFormat="1" ht="57" x14ac:dyDescent="0.7">
      <c r="A1540" s="248"/>
      <c r="B1540" s="214"/>
      <c r="C1540" s="207"/>
      <c r="D1540" s="232"/>
      <c r="E1540" s="232"/>
      <c r="F1540" s="209"/>
      <c r="G1540" s="209"/>
      <c r="H1540" s="209"/>
      <c r="I1540" s="209"/>
      <c r="J1540" s="209"/>
      <c r="K1540" s="209"/>
      <c r="L1540" s="209"/>
      <c r="M1540" s="207"/>
      <c r="N1540" s="209"/>
      <c r="O1540" s="209"/>
      <c r="P1540" s="209"/>
      <c r="Q1540" s="209"/>
      <c r="R1540" s="209"/>
      <c r="S1540" s="210"/>
    </row>
    <row r="1541" spans="1:19" s="14" customFormat="1" ht="57" x14ac:dyDescent="0.7">
      <c r="A1541" s="248"/>
      <c r="B1541" s="214"/>
      <c r="C1541" s="207"/>
      <c r="D1541" s="232"/>
      <c r="E1541" s="232"/>
      <c r="F1541" s="209"/>
      <c r="G1541" s="209"/>
      <c r="H1541" s="209"/>
      <c r="I1541" s="209"/>
      <c r="J1541" s="209"/>
      <c r="K1541" s="209"/>
      <c r="L1541" s="209"/>
      <c r="M1541" s="207"/>
      <c r="N1541" s="209"/>
      <c r="O1541" s="209"/>
      <c r="P1541" s="209"/>
      <c r="Q1541" s="209"/>
      <c r="R1541" s="209"/>
      <c r="S1541" s="210"/>
    </row>
    <row r="1542" spans="1:19" s="14" customFormat="1" ht="57" x14ac:dyDescent="0.7">
      <c r="A1542" s="248"/>
      <c r="B1542" s="214"/>
      <c r="C1542" s="207"/>
      <c r="D1542" s="232"/>
      <c r="E1542" s="232"/>
      <c r="F1542" s="209"/>
      <c r="G1542" s="209"/>
      <c r="H1542" s="209"/>
      <c r="I1542" s="209"/>
      <c r="J1542" s="209"/>
      <c r="K1542" s="209"/>
      <c r="L1542" s="209"/>
      <c r="M1542" s="207"/>
      <c r="N1542" s="209"/>
      <c r="O1542" s="209"/>
      <c r="P1542" s="209"/>
      <c r="Q1542" s="209"/>
      <c r="R1542" s="209"/>
      <c r="S1542" s="210"/>
    </row>
    <row r="1543" spans="1:19" s="14" customFormat="1" ht="57" x14ac:dyDescent="0.7">
      <c r="A1543" s="248"/>
      <c r="B1543" s="214"/>
      <c r="C1543" s="207"/>
      <c r="D1543" s="232"/>
      <c r="E1543" s="232"/>
      <c r="F1543" s="209"/>
      <c r="G1543" s="209"/>
      <c r="H1543" s="209"/>
      <c r="I1543" s="209"/>
      <c r="J1543" s="209"/>
      <c r="K1543" s="209"/>
      <c r="L1543" s="209"/>
      <c r="M1543" s="207"/>
      <c r="N1543" s="209"/>
      <c r="O1543" s="209"/>
      <c r="P1543" s="209"/>
      <c r="Q1543" s="209"/>
      <c r="R1543" s="209"/>
      <c r="S1543" s="210"/>
    </row>
    <row r="1544" spans="1:19" s="14" customFormat="1" ht="57" x14ac:dyDescent="0.7">
      <c r="A1544" s="248"/>
      <c r="B1544" s="214"/>
      <c r="C1544" s="207"/>
      <c r="D1544" s="232"/>
      <c r="E1544" s="232"/>
      <c r="F1544" s="209"/>
      <c r="G1544" s="209"/>
      <c r="H1544" s="209"/>
      <c r="I1544" s="209"/>
      <c r="J1544" s="209"/>
      <c r="K1544" s="209"/>
      <c r="L1544" s="209"/>
      <c r="M1544" s="207"/>
      <c r="N1544" s="209"/>
      <c r="O1544" s="209"/>
      <c r="P1544" s="209"/>
      <c r="Q1544" s="209"/>
      <c r="R1544" s="209"/>
      <c r="S1544" s="210"/>
    </row>
    <row r="1545" spans="1:19" s="14" customFormat="1" ht="57" x14ac:dyDescent="0.7">
      <c r="A1545" s="248"/>
      <c r="B1545" s="214"/>
      <c r="C1545" s="207"/>
      <c r="D1545" s="232"/>
      <c r="E1545" s="232"/>
      <c r="F1545" s="209"/>
      <c r="G1545" s="209"/>
      <c r="H1545" s="209"/>
      <c r="I1545" s="209"/>
      <c r="J1545" s="209"/>
      <c r="K1545" s="209"/>
      <c r="L1545" s="209"/>
      <c r="M1545" s="207"/>
      <c r="N1545" s="209"/>
      <c r="O1545" s="209"/>
      <c r="P1545" s="209"/>
      <c r="Q1545" s="209"/>
      <c r="R1545" s="209"/>
      <c r="S1545" s="210"/>
    </row>
    <row r="1546" spans="1:19" s="14" customFormat="1" ht="57" x14ac:dyDescent="0.7">
      <c r="A1546" s="248"/>
      <c r="B1546" s="214"/>
      <c r="C1546" s="207"/>
      <c r="D1546" s="232"/>
      <c r="E1546" s="232"/>
      <c r="F1546" s="209"/>
      <c r="G1546" s="209"/>
      <c r="H1546" s="209"/>
      <c r="I1546" s="209"/>
      <c r="J1546" s="209"/>
      <c r="K1546" s="209"/>
      <c r="L1546" s="209"/>
      <c r="M1546" s="207"/>
      <c r="N1546" s="209"/>
      <c r="O1546" s="209"/>
      <c r="P1546" s="209"/>
      <c r="Q1546" s="209"/>
      <c r="R1546" s="209"/>
      <c r="S1546" s="210"/>
    </row>
    <row r="1547" spans="1:19" s="14" customFormat="1" ht="57" x14ac:dyDescent="0.7">
      <c r="A1547" s="248"/>
      <c r="B1547" s="214"/>
      <c r="C1547" s="207"/>
      <c r="D1547" s="232"/>
      <c r="E1547" s="232"/>
      <c r="F1547" s="209"/>
      <c r="G1547" s="209"/>
      <c r="H1547" s="209"/>
      <c r="I1547" s="209"/>
      <c r="J1547" s="209"/>
      <c r="K1547" s="209"/>
      <c r="L1547" s="209"/>
      <c r="M1547" s="207"/>
      <c r="N1547" s="209"/>
      <c r="O1547" s="209"/>
      <c r="P1547" s="209"/>
      <c r="Q1547" s="209"/>
      <c r="R1547" s="209"/>
      <c r="S1547" s="210"/>
    </row>
    <row r="1548" spans="1:19" s="14" customFormat="1" ht="57" x14ac:dyDescent="0.7">
      <c r="A1548" s="248"/>
      <c r="B1548" s="214"/>
      <c r="C1548" s="207"/>
      <c r="D1548" s="232"/>
      <c r="E1548" s="232"/>
      <c r="F1548" s="209"/>
      <c r="G1548" s="209"/>
      <c r="H1548" s="209"/>
      <c r="I1548" s="209"/>
      <c r="J1548" s="209"/>
      <c r="K1548" s="209"/>
      <c r="L1548" s="209"/>
      <c r="M1548" s="207"/>
      <c r="N1548" s="209"/>
      <c r="O1548" s="209"/>
      <c r="P1548" s="209"/>
      <c r="Q1548" s="209"/>
      <c r="R1548" s="209"/>
      <c r="S1548" s="210"/>
    </row>
    <row r="1549" spans="1:19" s="14" customFormat="1" ht="57" x14ac:dyDescent="0.7">
      <c r="A1549" s="248"/>
      <c r="B1549" s="214"/>
      <c r="C1549" s="207"/>
      <c r="D1549" s="232"/>
      <c r="E1549" s="232"/>
      <c r="F1549" s="209"/>
      <c r="G1549" s="209"/>
      <c r="H1549" s="209"/>
      <c r="I1549" s="209"/>
      <c r="J1549" s="209"/>
      <c r="K1549" s="209"/>
      <c r="L1549" s="209"/>
      <c r="M1549" s="207"/>
      <c r="N1549" s="209"/>
      <c r="O1549" s="209"/>
      <c r="P1549" s="209"/>
      <c r="Q1549" s="209"/>
      <c r="R1549" s="209"/>
      <c r="S1549" s="210"/>
    </row>
    <row r="1550" spans="1:19" s="14" customFormat="1" ht="57" x14ac:dyDescent="0.7">
      <c r="A1550" s="248"/>
      <c r="B1550" s="214"/>
      <c r="C1550" s="207"/>
      <c r="D1550" s="232"/>
      <c r="E1550" s="232"/>
      <c r="F1550" s="209"/>
      <c r="G1550" s="209"/>
      <c r="H1550" s="209"/>
      <c r="I1550" s="209"/>
      <c r="J1550" s="209"/>
      <c r="K1550" s="209"/>
      <c r="L1550" s="209"/>
      <c r="M1550" s="207"/>
      <c r="N1550" s="209"/>
      <c r="O1550" s="209"/>
      <c r="P1550" s="209"/>
      <c r="Q1550" s="209"/>
      <c r="R1550" s="209"/>
      <c r="S1550" s="210"/>
    </row>
    <row r="1551" spans="1:19" s="14" customFormat="1" ht="57" x14ac:dyDescent="0.7">
      <c r="A1551" s="248"/>
      <c r="B1551" s="214"/>
      <c r="C1551" s="207"/>
      <c r="D1551" s="232"/>
      <c r="E1551" s="232"/>
      <c r="F1551" s="209"/>
      <c r="G1551" s="209"/>
      <c r="H1551" s="209"/>
      <c r="I1551" s="209"/>
      <c r="J1551" s="209"/>
      <c r="K1551" s="209"/>
      <c r="L1551" s="209"/>
      <c r="M1551" s="207"/>
      <c r="N1551" s="209"/>
      <c r="O1551" s="209"/>
      <c r="P1551" s="209"/>
      <c r="Q1551" s="209"/>
      <c r="R1551" s="209"/>
      <c r="S1551" s="210"/>
    </row>
    <row r="1552" spans="1:19" s="14" customFormat="1" ht="57" x14ac:dyDescent="0.7">
      <c r="A1552" s="248"/>
      <c r="B1552" s="214"/>
      <c r="C1552" s="207"/>
      <c r="D1552" s="232"/>
      <c r="E1552" s="232"/>
      <c r="F1552" s="209"/>
      <c r="G1552" s="209"/>
      <c r="H1552" s="209"/>
      <c r="I1552" s="209"/>
      <c r="J1552" s="209"/>
      <c r="K1552" s="209"/>
      <c r="L1552" s="209"/>
      <c r="M1552" s="207"/>
      <c r="N1552" s="209"/>
      <c r="O1552" s="209"/>
      <c r="P1552" s="209"/>
      <c r="Q1552" s="209"/>
      <c r="R1552" s="209"/>
      <c r="S1552" s="210"/>
    </row>
    <row r="1553" spans="1:19" s="14" customFormat="1" ht="57" x14ac:dyDescent="0.7">
      <c r="A1553" s="248"/>
      <c r="B1553" s="214"/>
      <c r="C1553" s="207"/>
      <c r="D1553" s="232"/>
      <c r="E1553" s="232"/>
      <c r="F1553" s="209"/>
      <c r="G1553" s="209"/>
      <c r="H1553" s="209"/>
      <c r="I1553" s="209"/>
      <c r="J1553" s="209"/>
      <c r="K1553" s="209"/>
      <c r="L1553" s="209"/>
      <c r="M1553" s="207"/>
      <c r="N1553" s="209"/>
      <c r="O1553" s="209"/>
      <c r="P1553" s="209"/>
      <c r="Q1553" s="209"/>
      <c r="R1553" s="209"/>
      <c r="S1553" s="210"/>
    </row>
    <row r="1554" spans="1:19" s="14" customFormat="1" ht="57" x14ac:dyDescent="0.7">
      <c r="A1554" s="248"/>
      <c r="B1554" s="214"/>
      <c r="C1554" s="207"/>
      <c r="D1554" s="232"/>
      <c r="E1554" s="232"/>
      <c r="F1554" s="209"/>
      <c r="G1554" s="209"/>
      <c r="H1554" s="209"/>
      <c r="I1554" s="209"/>
      <c r="J1554" s="209"/>
      <c r="K1554" s="209"/>
      <c r="L1554" s="209"/>
      <c r="M1554" s="207"/>
      <c r="N1554" s="209"/>
      <c r="O1554" s="209"/>
      <c r="P1554" s="209"/>
      <c r="Q1554" s="209"/>
      <c r="R1554" s="209"/>
      <c r="S1554" s="210"/>
    </row>
    <row r="1555" spans="1:19" s="14" customFormat="1" ht="57" x14ac:dyDescent="0.7">
      <c r="A1555" s="248"/>
      <c r="B1555" s="214"/>
      <c r="C1555" s="207"/>
      <c r="D1555" s="232"/>
      <c r="E1555" s="232"/>
      <c r="F1555" s="209"/>
      <c r="G1555" s="209"/>
      <c r="H1555" s="209"/>
      <c r="I1555" s="209"/>
      <c r="J1555" s="209"/>
      <c r="K1555" s="209"/>
      <c r="L1555" s="209"/>
      <c r="M1555" s="207"/>
      <c r="N1555" s="209"/>
      <c r="O1555" s="209"/>
      <c r="P1555" s="209"/>
      <c r="Q1555" s="209"/>
      <c r="R1555" s="209"/>
      <c r="S1555" s="210"/>
    </row>
    <row r="1556" spans="1:19" s="14" customFormat="1" ht="57" x14ac:dyDescent="0.7">
      <c r="A1556" s="248"/>
      <c r="B1556" s="214"/>
      <c r="C1556" s="207"/>
      <c r="D1556" s="232"/>
      <c r="E1556" s="232"/>
      <c r="F1556" s="209"/>
      <c r="G1556" s="209"/>
      <c r="H1556" s="209"/>
      <c r="I1556" s="209"/>
      <c r="J1556" s="209"/>
      <c r="K1556" s="209"/>
      <c r="L1556" s="209"/>
      <c r="M1556" s="207"/>
      <c r="N1556" s="209"/>
      <c r="O1556" s="209"/>
      <c r="P1556" s="209"/>
      <c r="Q1556" s="209"/>
      <c r="R1556" s="209"/>
      <c r="S1556" s="210"/>
    </row>
    <row r="1557" spans="1:19" s="14" customFormat="1" ht="57" x14ac:dyDescent="0.7">
      <c r="A1557" s="248"/>
      <c r="B1557" s="214"/>
      <c r="C1557" s="207"/>
      <c r="D1557" s="232"/>
      <c r="E1557" s="232"/>
      <c r="F1557" s="209"/>
      <c r="G1557" s="209"/>
      <c r="H1557" s="209"/>
      <c r="I1557" s="209"/>
      <c r="J1557" s="209"/>
      <c r="K1557" s="209"/>
      <c r="L1557" s="209"/>
      <c r="M1557" s="207"/>
      <c r="N1557" s="209"/>
      <c r="O1557" s="209"/>
      <c r="P1557" s="209"/>
      <c r="Q1557" s="209"/>
      <c r="R1557" s="209"/>
      <c r="S1557" s="210"/>
    </row>
    <row r="1558" spans="1:19" s="14" customFormat="1" ht="57" x14ac:dyDescent="0.7">
      <c r="A1558" s="248"/>
      <c r="B1558" s="214"/>
      <c r="C1558" s="207"/>
      <c r="D1558" s="232"/>
      <c r="E1558" s="232"/>
      <c r="F1558" s="209"/>
      <c r="G1558" s="209"/>
      <c r="H1558" s="209"/>
      <c r="I1558" s="209"/>
      <c r="J1558" s="209"/>
      <c r="K1558" s="209"/>
      <c r="L1558" s="209"/>
      <c r="M1558" s="207"/>
      <c r="N1558" s="209"/>
      <c r="O1558" s="209"/>
      <c r="P1558" s="209"/>
      <c r="Q1558" s="209"/>
      <c r="R1558" s="209"/>
      <c r="S1558" s="210"/>
    </row>
    <row r="1559" spans="1:19" s="14" customFormat="1" ht="57" x14ac:dyDescent="0.7">
      <c r="A1559" s="248"/>
      <c r="B1559" s="214"/>
      <c r="C1559" s="207"/>
      <c r="D1559" s="232"/>
      <c r="E1559" s="232"/>
      <c r="F1559" s="209"/>
      <c r="G1559" s="209"/>
      <c r="H1559" s="209"/>
      <c r="I1559" s="209"/>
      <c r="J1559" s="209"/>
      <c r="K1559" s="209"/>
      <c r="L1559" s="209"/>
      <c r="M1559" s="207"/>
      <c r="N1559" s="209"/>
      <c r="O1559" s="209"/>
      <c r="P1559" s="209"/>
      <c r="Q1559" s="209"/>
      <c r="R1559" s="209"/>
      <c r="S1559" s="210"/>
    </row>
    <row r="1560" spans="1:19" s="14" customFormat="1" ht="57" x14ac:dyDescent="0.7">
      <c r="A1560" s="248"/>
      <c r="B1560" s="214"/>
      <c r="C1560" s="207"/>
      <c r="D1560" s="232"/>
      <c r="E1560" s="232"/>
      <c r="F1560" s="209"/>
      <c r="G1560" s="209"/>
      <c r="H1560" s="209"/>
      <c r="I1560" s="209"/>
      <c r="J1560" s="209"/>
      <c r="K1560" s="209"/>
      <c r="L1560" s="209"/>
      <c r="M1560" s="207"/>
      <c r="N1560" s="209"/>
      <c r="O1560" s="209"/>
      <c r="P1560" s="209"/>
      <c r="Q1560" s="209"/>
      <c r="R1560" s="209"/>
      <c r="S1560" s="210"/>
    </row>
    <row r="1561" spans="1:19" s="14" customFormat="1" ht="57" x14ac:dyDescent="0.7">
      <c r="A1561" s="248"/>
      <c r="B1561" s="214"/>
      <c r="C1561" s="207"/>
      <c r="D1561" s="232"/>
      <c r="E1561" s="232"/>
      <c r="F1561" s="209"/>
      <c r="G1561" s="209"/>
      <c r="H1561" s="209"/>
      <c r="I1561" s="209"/>
      <c r="J1561" s="209"/>
      <c r="K1561" s="209"/>
      <c r="L1561" s="209"/>
      <c r="M1561" s="207"/>
      <c r="N1561" s="209"/>
      <c r="O1561" s="209"/>
      <c r="P1561" s="209"/>
      <c r="Q1561" s="209"/>
      <c r="R1561" s="209"/>
      <c r="S1561" s="210"/>
    </row>
    <row r="1562" spans="1:19" s="14" customFormat="1" ht="57" x14ac:dyDescent="0.7">
      <c r="A1562" s="248"/>
      <c r="B1562" s="214"/>
      <c r="C1562" s="207"/>
      <c r="D1562" s="232"/>
      <c r="E1562" s="232"/>
      <c r="F1562" s="209"/>
      <c r="G1562" s="209"/>
      <c r="H1562" s="209"/>
      <c r="I1562" s="209"/>
      <c r="J1562" s="209"/>
      <c r="K1562" s="209"/>
      <c r="L1562" s="209"/>
      <c r="M1562" s="207"/>
      <c r="N1562" s="209"/>
      <c r="O1562" s="209"/>
      <c r="P1562" s="209"/>
      <c r="Q1562" s="209"/>
      <c r="R1562" s="209"/>
      <c r="S1562" s="210"/>
    </row>
    <row r="1563" spans="1:19" s="14" customFormat="1" ht="57" x14ac:dyDescent="0.7">
      <c r="A1563" s="248"/>
      <c r="B1563" s="214"/>
      <c r="C1563" s="207"/>
      <c r="D1563" s="232"/>
      <c r="E1563" s="232"/>
      <c r="F1563" s="209"/>
      <c r="G1563" s="209"/>
      <c r="H1563" s="209"/>
      <c r="I1563" s="209"/>
      <c r="J1563" s="209"/>
      <c r="K1563" s="209"/>
      <c r="L1563" s="209"/>
      <c r="M1563" s="207"/>
      <c r="N1563" s="209"/>
      <c r="O1563" s="209"/>
      <c r="P1563" s="209"/>
      <c r="Q1563" s="209"/>
      <c r="R1563" s="209"/>
      <c r="S1563" s="210"/>
    </row>
    <row r="1564" spans="1:19" s="14" customFormat="1" ht="57" x14ac:dyDescent="0.7">
      <c r="A1564" s="248"/>
      <c r="B1564" s="214"/>
      <c r="C1564" s="207"/>
      <c r="D1564" s="232"/>
      <c r="E1564" s="232"/>
      <c r="F1564" s="209"/>
      <c r="G1564" s="209"/>
      <c r="H1564" s="209"/>
      <c r="I1564" s="209"/>
      <c r="J1564" s="209"/>
      <c r="K1564" s="209"/>
      <c r="L1564" s="209"/>
      <c r="M1564" s="207"/>
      <c r="N1564" s="209"/>
      <c r="O1564" s="209"/>
      <c r="P1564" s="209"/>
      <c r="Q1564" s="209"/>
      <c r="R1564" s="209"/>
      <c r="S1564" s="210"/>
    </row>
    <row r="1565" spans="1:19" s="14" customFormat="1" ht="57" x14ac:dyDescent="0.7">
      <c r="A1565" s="248"/>
      <c r="B1565" s="214"/>
      <c r="C1565" s="207"/>
      <c r="D1565" s="232"/>
      <c r="E1565" s="232"/>
      <c r="F1565" s="209"/>
      <c r="G1565" s="209"/>
      <c r="H1565" s="209"/>
      <c r="I1565" s="209"/>
      <c r="J1565" s="209"/>
      <c r="K1565" s="209"/>
      <c r="L1565" s="209"/>
      <c r="M1565" s="207"/>
      <c r="N1565" s="209"/>
      <c r="O1565" s="209"/>
      <c r="P1565" s="209"/>
      <c r="Q1565" s="209"/>
      <c r="R1565" s="209"/>
      <c r="S1565" s="210"/>
    </row>
    <row r="1566" spans="1:19" s="14" customFormat="1" ht="57" x14ac:dyDescent="0.7">
      <c r="A1566" s="248"/>
      <c r="B1566" s="214"/>
      <c r="C1566" s="207"/>
      <c r="D1566" s="232"/>
      <c r="E1566" s="232"/>
      <c r="F1566" s="209"/>
      <c r="G1566" s="209"/>
      <c r="H1566" s="209"/>
      <c r="I1566" s="209"/>
      <c r="J1566" s="209"/>
      <c r="K1566" s="209"/>
      <c r="L1566" s="209"/>
      <c r="M1566" s="207"/>
      <c r="N1566" s="209"/>
      <c r="O1566" s="209"/>
      <c r="P1566" s="209"/>
      <c r="Q1566" s="209"/>
      <c r="R1566" s="209"/>
      <c r="S1566" s="210"/>
    </row>
    <row r="1567" spans="1:19" s="14" customFormat="1" ht="57" x14ac:dyDescent="0.7">
      <c r="A1567" s="248"/>
      <c r="B1567" s="214"/>
      <c r="C1567" s="207"/>
      <c r="D1567" s="232"/>
      <c r="E1567" s="232"/>
      <c r="F1567" s="209"/>
      <c r="G1567" s="209"/>
      <c r="H1567" s="209"/>
      <c r="I1567" s="209"/>
      <c r="J1567" s="209"/>
      <c r="K1567" s="209"/>
      <c r="L1567" s="209"/>
      <c r="M1567" s="207"/>
      <c r="N1567" s="209"/>
      <c r="O1567" s="209"/>
      <c r="P1567" s="209"/>
      <c r="Q1567" s="209"/>
      <c r="R1567" s="209"/>
      <c r="S1567" s="210"/>
    </row>
    <row r="1568" spans="1:19" s="14" customFormat="1" ht="57" x14ac:dyDescent="0.7">
      <c r="A1568" s="248"/>
      <c r="B1568" s="214"/>
      <c r="C1568" s="207"/>
      <c r="D1568" s="232"/>
      <c r="E1568" s="232"/>
      <c r="F1568" s="209"/>
      <c r="G1568" s="209"/>
      <c r="H1568" s="209"/>
      <c r="I1568" s="209"/>
      <c r="J1568" s="209"/>
      <c r="K1568" s="209"/>
      <c r="L1568" s="209"/>
      <c r="M1568" s="207"/>
      <c r="N1568" s="209"/>
      <c r="O1568" s="209"/>
      <c r="P1568" s="209"/>
      <c r="Q1568" s="209"/>
      <c r="R1568" s="209"/>
      <c r="S1568" s="210"/>
    </row>
    <row r="1569" spans="1:19" s="14" customFormat="1" ht="57" x14ac:dyDescent="0.7">
      <c r="A1569" s="248"/>
      <c r="B1569" s="214"/>
      <c r="C1569" s="207"/>
      <c r="D1569" s="232"/>
      <c r="E1569" s="232"/>
      <c r="F1569" s="209"/>
      <c r="G1569" s="209"/>
      <c r="H1569" s="209"/>
      <c r="I1569" s="209"/>
      <c r="J1569" s="209"/>
      <c r="K1569" s="209"/>
      <c r="L1569" s="209"/>
      <c r="M1569" s="207"/>
      <c r="N1569" s="209"/>
      <c r="O1569" s="209"/>
      <c r="P1569" s="209"/>
      <c r="Q1569" s="209"/>
      <c r="R1569" s="209"/>
      <c r="S1569" s="210"/>
    </row>
    <row r="1570" spans="1:19" s="14" customFormat="1" ht="57" x14ac:dyDescent="0.7">
      <c r="A1570" s="248"/>
      <c r="B1570" s="214"/>
      <c r="C1570" s="207"/>
      <c r="D1570" s="232"/>
      <c r="E1570" s="232"/>
      <c r="F1570" s="209"/>
      <c r="G1570" s="209"/>
      <c r="H1570" s="209"/>
      <c r="I1570" s="209"/>
      <c r="J1570" s="209"/>
      <c r="K1570" s="209"/>
      <c r="L1570" s="209"/>
      <c r="M1570" s="207"/>
      <c r="N1570" s="209"/>
      <c r="O1570" s="209"/>
      <c r="P1570" s="209"/>
      <c r="Q1570" s="209"/>
      <c r="R1570" s="209"/>
      <c r="S1570" s="210"/>
    </row>
    <row r="1571" spans="1:19" s="14" customFormat="1" ht="57" x14ac:dyDescent="0.7">
      <c r="A1571" s="248"/>
      <c r="B1571" s="214"/>
      <c r="C1571" s="207"/>
      <c r="D1571" s="232"/>
      <c r="E1571" s="232"/>
      <c r="F1571" s="209"/>
      <c r="G1571" s="209"/>
      <c r="H1571" s="209"/>
      <c r="I1571" s="209"/>
      <c r="J1571" s="209"/>
      <c r="K1571" s="209"/>
      <c r="L1571" s="209"/>
      <c r="M1571" s="207"/>
      <c r="N1571" s="209"/>
      <c r="O1571" s="209"/>
      <c r="P1571" s="209"/>
      <c r="Q1571" s="209"/>
      <c r="R1571" s="209"/>
      <c r="S1571" s="210"/>
    </row>
    <row r="1572" spans="1:19" s="14" customFormat="1" ht="57" x14ac:dyDescent="0.7">
      <c r="A1572" s="248"/>
      <c r="B1572" s="214"/>
      <c r="C1572" s="207"/>
      <c r="D1572" s="232"/>
      <c r="E1572" s="232"/>
      <c r="F1572" s="209"/>
      <c r="G1572" s="209"/>
      <c r="H1572" s="209"/>
      <c r="I1572" s="209"/>
      <c r="J1572" s="209"/>
      <c r="K1572" s="209"/>
      <c r="L1572" s="209"/>
      <c r="M1572" s="207"/>
      <c r="N1572" s="209"/>
      <c r="O1572" s="209"/>
      <c r="P1572" s="209"/>
      <c r="Q1572" s="209"/>
      <c r="R1572" s="209"/>
      <c r="S1572" s="210"/>
    </row>
    <row r="1573" spans="1:19" s="14" customFormat="1" ht="57" x14ac:dyDescent="0.7">
      <c r="A1573" s="248"/>
      <c r="B1573" s="214"/>
      <c r="C1573" s="207"/>
      <c r="D1573" s="232"/>
      <c r="E1573" s="232"/>
      <c r="F1573" s="209"/>
      <c r="G1573" s="209"/>
      <c r="H1573" s="209"/>
      <c r="I1573" s="209"/>
      <c r="J1573" s="209"/>
      <c r="K1573" s="209"/>
      <c r="L1573" s="209"/>
      <c r="M1573" s="207"/>
      <c r="N1573" s="209"/>
      <c r="O1573" s="209"/>
      <c r="P1573" s="209"/>
      <c r="Q1573" s="209"/>
      <c r="R1573" s="209"/>
      <c r="S1573" s="210"/>
    </row>
    <row r="1574" spans="1:19" s="14" customFormat="1" ht="57" x14ac:dyDescent="0.7">
      <c r="A1574" s="248"/>
      <c r="B1574" s="214"/>
      <c r="C1574" s="207"/>
      <c r="D1574" s="232"/>
      <c r="E1574" s="232"/>
      <c r="F1574" s="209"/>
      <c r="G1574" s="209"/>
      <c r="H1574" s="209"/>
      <c r="I1574" s="209"/>
      <c r="J1574" s="209"/>
      <c r="K1574" s="209"/>
      <c r="L1574" s="209"/>
      <c r="M1574" s="207"/>
      <c r="N1574" s="209"/>
      <c r="O1574" s="209"/>
      <c r="P1574" s="209"/>
      <c r="Q1574" s="209"/>
      <c r="R1574" s="209"/>
      <c r="S1574" s="210"/>
    </row>
    <row r="1575" spans="1:19" s="14" customFormat="1" ht="57" x14ac:dyDescent="0.7">
      <c r="A1575" s="248"/>
      <c r="B1575" s="214"/>
      <c r="C1575" s="207"/>
      <c r="D1575" s="232"/>
      <c r="E1575" s="232"/>
      <c r="F1575" s="209"/>
      <c r="G1575" s="209"/>
      <c r="H1575" s="209"/>
      <c r="I1575" s="209"/>
      <c r="J1575" s="209"/>
      <c r="K1575" s="209"/>
      <c r="L1575" s="209"/>
      <c r="M1575" s="207"/>
      <c r="N1575" s="209"/>
      <c r="O1575" s="209"/>
      <c r="P1575" s="209"/>
      <c r="Q1575" s="209"/>
      <c r="R1575" s="209"/>
      <c r="S1575" s="210"/>
    </row>
    <row r="1576" spans="1:19" s="14" customFormat="1" ht="57" x14ac:dyDescent="0.7">
      <c r="A1576" s="248"/>
      <c r="B1576" s="214"/>
      <c r="C1576" s="207"/>
      <c r="D1576" s="232"/>
      <c r="E1576" s="232"/>
      <c r="F1576" s="209"/>
      <c r="G1576" s="209"/>
      <c r="H1576" s="209"/>
      <c r="I1576" s="209"/>
      <c r="J1576" s="209"/>
      <c r="K1576" s="209"/>
      <c r="L1576" s="209"/>
      <c r="M1576" s="207"/>
      <c r="N1576" s="209"/>
      <c r="O1576" s="209"/>
      <c r="P1576" s="209"/>
      <c r="Q1576" s="209"/>
      <c r="R1576" s="209"/>
      <c r="S1576" s="210"/>
    </row>
    <row r="1577" spans="1:19" s="14" customFormat="1" ht="57" x14ac:dyDescent="0.7">
      <c r="A1577" s="248"/>
      <c r="B1577" s="214"/>
      <c r="C1577" s="207"/>
      <c r="D1577" s="232"/>
      <c r="E1577" s="232"/>
      <c r="F1577" s="209"/>
      <c r="G1577" s="209"/>
      <c r="H1577" s="209"/>
      <c r="I1577" s="209"/>
      <c r="J1577" s="209"/>
      <c r="K1577" s="209"/>
      <c r="L1577" s="209"/>
      <c r="M1577" s="207"/>
      <c r="N1577" s="209"/>
      <c r="O1577" s="209"/>
      <c r="P1577" s="209"/>
      <c r="Q1577" s="209"/>
      <c r="R1577" s="209"/>
      <c r="S1577" s="210"/>
    </row>
    <row r="1578" spans="1:19" s="14" customFormat="1" ht="57" x14ac:dyDescent="0.7">
      <c r="A1578" s="248"/>
      <c r="B1578" s="214"/>
      <c r="C1578" s="207"/>
      <c r="D1578" s="232"/>
      <c r="E1578" s="232"/>
      <c r="F1578" s="209"/>
      <c r="G1578" s="209"/>
      <c r="H1578" s="209"/>
      <c r="I1578" s="209"/>
      <c r="J1578" s="209"/>
      <c r="K1578" s="209"/>
      <c r="L1578" s="209"/>
      <c r="M1578" s="207"/>
      <c r="N1578" s="209"/>
      <c r="O1578" s="209"/>
      <c r="P1578" s="209"/>
      <c r="Q1578" s="209"/>
      <c r="R1578" s="209"/>
      <c r="S1578" s="210"/>
    </row>
    <row r="1579" spans="1:19" s="14" customFormat="1" ht="57" x14ac:dyDescent="0.7">
      <c r="A1579" s="248"/>
      <c r="B1579" s="214"/>
      <c r="C1579" s="207"/>
      <c r="D1579" s="232"/>
      <c r="E1579" s="232"/>
      <c r="F1579" s="209"/>
      <c r="G1579" s="209"/>
      <c r="H1579" s="209"/>
      <c r="I1579" s="209"/>
      <c r="J1579" s="209"/>
      <c r="K1579" s="209"/>
      <c r="L1579" s="209"/>
      <c r="M1579" s="207"/>
      <c r="N1579" s="209"/>
      <c r="O1579" s="209"/>
      <c r="P1579" s="209"/>
      <c r="Q1579" s="209"/>
      <c r="R1579" s="209"/>
      <c r="S1579" s="210"/>
    </row>
    <row r="1580" spans="1:19" s="14" customFormat="1" ht="57" x14ac:dyDescent="0.7">
      <c r="A1580" s="248"/>
      <c r="B1580" s="214"/>
      <c r="C1580" s="207"/>
      <c r="D1580" s="232"/>
      <c r="E1580" s="232"/>
      <c r="F1580" s="209"/>
      <c r="G1580" s="209"/>
      <c r="H1580" s="209"/>
      <c r="I1580" s="209"/>
      <c r="J1580" s="209"/>
      <c r="K1580" s="209"/>
      <c r="L1580" s="209"/>
      <c r="M1580" s="207"/>
      <c r="N1580" s="209"/>
      <c r="O1580" s="209"/>
      <c r="P1580" s="209"/>
      <c r="Q1580" s="209"/>
      <c r="R1580" s="209"/>
      <c r="S1580" s="210"/>
    </row>
    <row r="1581" spans="1:19" s="14" customFormat="1" ht="57" x14ac:dyDescent="0.7">
      <c r="A1581" s="248"/>
      <c r="B1581" s="214"/>
      <c r="C1581" s="207"/>
      <c r="D1581" s="232"/>
      <c r="E1581" s="232"/>
      <c r="F1581" s="209"/>
      <c r="G1581" s="209"/>
      <c r="H1581" s="209"/>
      <c r="I1581" s="209"/>
      <c r="J1581" s="209"/>
      <c r="K1581" s="209"/>
      <c r="L1581" s="209"/>
      <c r="M1581" s="207"/>
      <c r="N1581" s="209"/>
      <c r="O1581" s="209"/>
      <c r="P1581" s="209"/>
      <c r="Q1581" s="209"/>
      <c r="R1581" s="209"/>
      <c r="S1581" s="210"/>
    </row>
    <row r="1582" spans="1:19" s="14" customFormat="1" ht="57" x14ac:dyDescent="0.7">
      <c r="A1582" s="248"/>
      <c r="B1582" s="214"/>
      <c r="C1582" s="207"/>
      <c r="D1582" s="232"/>
      <c r="E1582" s="232"/>
      <c r="F1582" s="209"/>
      <c r="G1582" s="209"/>
      <c r="H1582" s="209"/>
      <c r="I1582" s="209"/>
      <c r="J1582" s="209"/>
      <c r="K1582" s="209"/>
      <c r="L1582" s="209"/>
      <c r="M1582" s="207"/>
      <c r="N1582" s="209"/>
      <c r="O1582" s="209"/>
      <c r="P1582" s="209"/>
      <c r="Q1582" s="209"/>
      <c r="R1582" s="209"/>
      <c r="S1582" s="210"/>
    </row>
    <row r="1583" spans="1:19" s="14" customFormat="1" ht="57" x14ac:dyDescent="0.7">
      <c r="A1583" s="248"/>
      <c r="B1583" s="214"/>
      <c r="C1583" s="207"/>
      <c r="D1583" s="232"/>
      <c r="E1583" s="232"/>
      <c r="F1583" s="209"/>
      <c r="G1583" s="209"/>
      <c r="H1583" s="209"/>
      <c r="I1583" s="209"/>
      <c r="J1583" s="209"/>
      <c r="K1583" s="209"/>
      <c r="L1583" s="209"/>
      <c r="M1583" s="207"/>
      <c r="N1583" s="209"/>
      <c r="O1583" s="209"/>
      <c r="P1583" s="209"/>
      <c r="Q1583" s="209"/>
      <c r="R1583" s="209"/>
      <c r="S1583" s="210"/>
    </row>
    <row r="1584" spans="1:19" s="14" customFormat="1" ht="57" x14ac:dyDescent="0.7">
      <c r="A1584" s="248"/>
      <c r="B1584" s="214"/>
      <c r="C1584" s="207"/>
      <c r="D1584" s="232"/>
      <c r="E1584" s="232"/>
      <c r="F1584" s="209"/>
      <c r="G1584" s="209"/>
      <c r="H1584" s="209"/>
      <c r="I1584" s="209"/>
      <c r="J1584" s="209"/>
      <c r="K1584" s="209"/>
      <c r="L1584" s="209"/>
      <c r="M1584" s="207"/>
      <c r="N1584" s="209"/>
      <c r="O1584" s="209"/>
      <c r="P1584" s="209"/>
      <c r="Q1584" s="209"/>
      <c r="R1584" s="209"/>
      <c r="S1584" s="210"/>
    </row>
    <row r="1585" spans="1:19" s="14" customFormat="1" ht="57" x14ac:dyDescent="0.7">
      <c r="A1585" s="248"/>
      <c r="B1585" s="214"/>
      <c r="C1585" s="207"/>
      <c r="D1585" s="232"/>
      <c r="E1585" s="232"/>
      <c r="F1585" s="209"/>
      <c r="G1585" s="209"/>
      <c r="H1585" s="209"/>
      <c r="I1585" s="209"/>
      <c r="J1585" s="209"/>
      <c r="K1585" s="209"/>
      <c r="L1585" s="209"/>
      <c r="M1585" s="207"/>
      <c r="N1585" s="209"/>
      <c r="O1585" s="209"/>
      <c r="P1585" s="209"/>
      <c r="Q1585" s="209"/>
      <c r="R1585" s="209"/>
      <c r="S1585" s="210"/>
    </row>
    <row r="1586" spans="1:19" s="14" customFormat="1" ht="57" x14ac:dyDescent="0.7">
      <c r="A1586" s="248"/>
      <c r="B1586" s="214"/>
      <c r="C1586" s="207"/>
      <c r="D1586" s="232"/>
      <c r="E1586" s="232"/>
      <c r="F1586" s="209"/>
      <c r="G1586" s="209"/>
      <c r="H1586" s="209"/>
      <c r="I1586" s="209"/>
      <c r="J1586" s="209"/>
      <c r="K1586" s="209"/>
      <c r="L1586" s="209"/>
      <c r="M1586" s="207"/>
      <c r="N1586" s="209"/>
      <c r="O1586" s="209"/>
      <c r="P1586" s="209"/>
      <c r="Q1586" s="209"/>
      <c r="R1586" s="209"/>
      <c r="S1586" s="210"/>
    </row>
    <row r="1587" spans="1:19" s="14" customFormat="1" ht="57" x14ac:dyDescent="0.7">
      <c r="A1587" s="248"/>
      <c r="B1587" s="214"/>
      <c r="C1587" s="207"/>
      <c r="D1587" s="232"/>
      <c r="E1587" s="232"/>
      <c r="F1587" s="209"/>
      <c r="G1587" s="209"/>
      <c r="H1587" s="209"/>
      <c r="I1587" s="209"/>
      <c r="J1587" s="209"/>
      <c r="K1587" s="209"/>
      <c r="L1587" s="209"/>
      <c r="M1587" s="207"/>
      <c r="N1587" s="209"/>
      <c r="O1587" s="209"/>
      <c r="P1587" s="209"/>
      <c r="Q1587" s="209"/>
      <c r="R1587" s="209"/>
      <c r="S1587" s="210"/>
    </row>
    <row r="1588" spans="1:19" s="14" customFormat="1" ht="57" x14ac:dyDescent="0.7">
      <c r="A1588" s="248"/>
      <c r="B1588" s="214"/>
      <c r="C1588" s="207"/>
      <c r="D1588" s="232"/>
      <c r="E1588" s="232"/>
      <c r="F1588" s="209"/>
      <c r="G1588" s="209"/>
      <c r="H1588" s="209"/>
      <c r="I1588" s="209"/>
      <c r="J1588" s="209"/>
      <c r="K1588" s="209"/>
      <c r="L1588" s="209"/>
      <c r="M1588" s="207"/>
      <c r="N1588" s="209"/>
      <c r="O1588" s="209"/>
      <c r="P1588" s="209"/>
      <c r="Q1588" s="209"/>
      <c r="R1588" s="209"/>
      <c r="S1588" s="210"/>
    </row>
    <row r="1589" spans="1:19" s="14" customFormat="1" ht="57" x14ac:dyDescent="0.7">
      <c r="A1589" s="248"/>
      <c r="B1589" s="214"/>
      <c r="C1589" s="207"/>
      <c r="D1589" s="232"/>
      <c r="E1589" s="232"/>
      <c r="F1589" s="209"/>
      <c r="G1589" s="209"/>
      <c r="H1589" s="209"/>
      <c r="I1589" s="209"/>
      <c r="J1589" s="209"/>
      <c r="K1589" s="209"/>
      <c r="L1589" s="209"/>
      <c r="M1589" s="207"/>
      <c r="N1589" s="209"/>
      <c r="O1589" s="209"/>
      <c r="P1589" s="209"/>
      <c r="Q1589" s="209"/>
      <c r="R1589" s="209"/>
      <c r="S1589" s="210"/>
    </row>
  </sheetData>
  <autoFilter ref="A2:AD723" xr:uid="{00000000-0009-0000-0000-000001000000}">
    <filterColumn colId="8" showButton="0"/>
    <filterColumn colId="9" showButton="0"/>
    <filterColumn colId="11" showButton="0"/>
    <filterColumn colId="12" showButton="0"/>
    <sortState xmlns:xlrd2="http://schemas.microsoft.com/office/spreadsheetml/2017/richdata2" ref="A16:AB725">
      <sortCondition ref="B2:B151"/>
    </sortState>
  </autoFilter>
  <mergeCells count="830">
    <mergeCell ref="E720:E721"/>
    <mergeCell ref="B719:B721"/>
    <mergeCell ref="C719:C721"/>
    <mergeCell ref="D719:D721"/>
    <mergeCell ref="A719:A721"/>
    <mergeCell ref="E552:E553"/>
    <mergeCell ref="C638:C641"/>
    <mergeCell ref="D638:D641"/>
    <mergeCell ref="E638:E639"/>
    <mergeCell ref="E640:E641"/>
    <mergeCell ref="E636:E637"/>
    <mergeCell ref="B634:B637"/>
    <mergeCell ref="E664:E665"/>
    <mergeCell ref="E662:E663"/>
    <mergeCell ref="C649:C650"/>
    <mergeCell ref="D649:D650"/>
    <mergeCell ref="B649:B650"/>
    <mergeCell ref="C651:C654"/>
    <mergeCell ref="D675:D676"/>
    <mergeCell ref="C585:C590"/>
    <mergeCell ref="D585:D590"/>
    <mergeCell ref="B574:B575"/>
    <mergeCell ref="B571:B572"/>
    <mergeCell ref="B567:B570"/>
    <mergeCell ref="H29:S29"/>
    <mergeCell ref="E44:E45"/>
    <mergeCell ref="E47:E48"/>
    <mergeCell ref="E432:E436"/>
    <mergeCell ref="H432:S433"/>
    <mergeCell ref="C451:C452"/>
    <mergeCell ref="A451:A452"/>
    <mergeCell ref="E406:E407"/>
    <mergeCell ref="G406:S406"/>
    <mergeCell ref="C358:C365"/>
    <mergeCell ref="E358:E361"/>
    <mergeCell ref="E362:E365"/>
    <mergeCell ref="B437:B438"/>
    <mergeCell ref="E217:E222"/>
    <mergeCell ref="B211:B222"/>
    <mergeCell ref="A211:A222"/>
    <mergeCell ref="A158:A159"/>
    <mergeCell ref="B171:B174"/>
    <mergeCell ref="A171:A174"/>
    <mergeCell ref="D171:D174"/>
    <mergeCell ref="C211:C222"/>
    <mergeCell ref="D211:D222"/>
    <mergeCell ref="A160:A161"/>
    <mergeCell ref="E154:E155"/>
    <mergeCell ref="C154:C156"/>
    <mergeCell ref="E163:E164"/>
    <mergeCell ref="B163:B166"/>
    <mergeCell ref="A163:A166"/>
    <mergeCell ref="C163:C166"/>
    <mergeCell ref="D163:D166"/>
    <mergeCell ref="E165:E166"/>
    <mergeCell ref="C171:C174"/>
    <mergeCell ref="E171:E172"/>
    <mergeCell ref="E173:E174"/>
    <mergeCell ref="E167:E168"/>
    <mergeCell ref="E169:E170"/>
    <mergeCell ref="B167:B170"/>
    <mergeCell ref="A167:A170"/>
    <mergeCell ref="C167:C170"/>
    <mergeCell ref="D167:D170"/>
    <mergeCell ref="B160:B161"/>
    <mergeCell ref="C160:C161"/>
    <mergeCell ref="D160:D161"/>
    <mergeCell ref="B158:B159"/>
    <mergeCell ref="D158:D159"/>
    <mergeCell ref="C158:C159"/>
    <mergeCell ref="G459:S459"/>
    <mergeCell ref="H468:S468"/>
    <mergeCell ref="G173:S174"/>
    <mergeCell ref="C392:C401"/>
    <mergeCell ref="D392:D401"/>
    <mergeCell ref="D251:D258"/>
    <mergeCell ref="H369:S369"/>
    <mergeCell ref="E370:E372"/>
    <mergeCell ref="E211:E216"/>
    <mergeCell ref="C427:C436"/>
    <mergeCell ref="F452:S452"/>
    <mergeCell ref="E392:E396"/>
    <mergeCell ref="E397:E401"/>
    <mergeCell ref="C455:C456"/>
    <mergeCell ref="D455:D456"/>
    <mergeCell ref="D183:D184"/>
    <mergeCell ref="C348:C349"/>
    <mergeCell ref="C366:C367"/>
    <mergeCell ref="E274:E275"/>
    <mergeCell ref="E272:E273"/>
    <mergeCell ref="D277:D279"/>
    <mergeCell ref="D293:D298"/>
    <mergeCell ref="D272:D275"/>
    <mergeCell ref="C179:C180"/>
    <mergeCell ref="D311:D316"/>
    <mergeCell ref="C382:C391"/>
    <mergeCell ref="D382:D391"/>
    <mergeCell ref="E387:E391"/>
    <mergeCell ref="E382:E386"/>
    <mergeCell ref="D345:D346"/>
    <mergeCell ref="D348:D349"/>
    <mergeCell ref="C457:C460"/>
    <mergeCell ref="D457:D460"/>
    <mergeCell ref="D513:D525"/>
    <mergeCell ref="C513:C525"/>
    <mergeCell ref="E634:E635"/>
    <mergeCell ref="D490:D499"/>
    <mergeCell ref="C502:C505"/>
    <mergeCell ref="D502:D505"/>
    <mergeCell ref="C594:C595"/>
    <mergeCell ref="C634:C637"/>
    <mergeCell ref="D634:D637"/>
    <mergeCell ref="D484:D485"/>
    <mergeCell ref="C546:C547"/>
    <mergeCell ref="D546:D547"/>
    <mergeCell ref="E622:E627"/>
    <mergeCell ref="E628:E633"/>
    <mergeCell ref="D574:D575"/>
    <mergeCell ref="C622:C633"/>
    <mergeCell ref="D622:D633"/>
    <mergeCell ref="C576:C579"/>
    <mergeCell ref="D576:D579"/>
    <mergeCell ref="C617:C620"/>
    <mergeCell ref="D617:D620"/>
    <mergeCell ref="D594:D595"/>
    <mergeCell ref="C612:C613"/>
    <mergeCell ref="E585:E587"/>
    <mergeCell ref="C567:C570"/>
    <mergeCell ref="C500:C501"/>
    <mergeCell ref="D500:D501"/>
    <mergeCell ref="C559:C561"/>
    <mergeCell ref="D559:D561"/>
    <mergeCell ref="D486:D487"/>
    <mergeCell ref="C486:C487"/>
    <mergeCell ref="E603:E606"/>
    <mergeCell ref="C490:C499"/>
    <mergeCell ref="B550:B551"/>
    <mergeCell ref="B455:B456"/>
    <mergeCell ref="C462:C463"/>
    <mergeCell ref="D462:D463"/>
    <mergeCell ref="B462:B463"/>
    <mergeCell ref="B451:B452"/>
    <mergeCell ref="D451:D452"/>
    <mergeCell ref="E536:E537"/>
    <mergeCell ref="C541:C542"/>
    <mergeCell ref="D541:D542"/>
    <mergeCell ref="B490:B499"/>
    <mergeCell ref="C506:C507"/>
    <mergeCell ref="D506:D507"/>
    <mergeCell ref="E513:E519"/>
    <mergeCell ref="C550:C551"/>
    <mergeCell ref="B527:B530"/>
    <mergeCell ref="E469:E470"/>
    <mergeCell ref="E471:E472"/>
    <mergeCell ref="D550:D551"/>
    <mergeCell ref="E490:E494"/>
    <mergeCell ref="E495:E499"/>
    <mergeCell ref="E520:E525"/>
    <mergeCell ref="D535:D537"/>
    <mergeCell ref="B488:B489"/>
    <mergeCell ref="F611:S611"/>
    <mergeCell ref="C610:C611"/>
    <mergeCell ref="D610:D611"/>
    <mergeCell ref="G530:S530"/>
    <mergeCell ref="B594:B595"/>
    <mergeCell ref="C596:C597"/>
    <mergeCell ref="D596:D597"/>
    <mergeCell ref="B596:B597"/>
    <mergeCell ref="C582:C583"/>
    <mergeCell ref="D582:D583"/>
    <mergeCell ref="B582:B583"/>
    <mergeCell ref="B591:B593"/>
    <mergeCell ref="C591:C593"/>
    <mergeCell ref="D591:D593"/>
    <mergeCell ref="B576:B579"/>
    <mergeCell ref="C531:C532"/>
    <mergeCell ref="D531:D532"/>
    <mergeCell ref="D538:D540"/>
    <mergeCell ref="B546:B547"/>
    <mergeCell ref="D571:D572"/>
    <mergeCell ref="C571:C572"/>
    <mergeCell ref="C574:C575"/>
    <mergeCell ref="E588:E590"/>
    <mergeCell ref="C535:C537"/>
    <mergeCell ref="D285:D286"/>
    <mergeCell ref="B267:B268"/>
    <mergeCell ref="E255:E258"/>
    <mergeCell ref="D464:D465"/>
    <mergeCell ref="D404:D407"/>
    <mergeCell ref="D366:D367"/>
    <mergeCell ref="D264:D266"/>
    <mergeCell ref="D261:D263"/>
    <mergeCell ref="B457:B460"/>
    <mergeCell ref="D408:D411"/>
    <mergeCell ref="C414:C418"/>
    <mergeCell ref="B420:B421"/>
    <mergeCell ref="C420:C421"/>
    <mergeCell ref="D420:D421"/>
    <mergeCell ref="B414:B418"/>
    <mergeCell ref="B408:B411"/>
    <mergeCell ref="C368:C369"/>
    <mergeCell ref="D368:D369"/>
    <mergeCell ref="B368:B369"/>
    <mergeCell ref="E305:E310"/>
    <mergeCell ref="E427:E431"/>
    <mergeCell ref="C437:C438"/>
    <mergeCell ref="D437:D438"/>
    <mergeCell ref="E459:E460"/>
    <mergeCell ref="D190:D193"/>
    <mergeCell ref="A200:A204"/>
    <mergeCell ref="C200:C204"/>
    <mergeCell ref="D200:D204"/>
    <mergeCell ref="B242:B243"/>
    <mergeCell ref="A246:A247"/>
    <mergeCell ref="D187:D189"/>
    <mergeCell ref="E207:E208"/>
    <mergeCell ref="E209:E210"/>
    <mergeCell ref="E192:E193"/>
    <mergeCell ref="B194:B197"/>
    <mergeCell ref="D244:D245"/>
    <mergeCell ref="B200:B204"/>
    <mergeCell ref="D194:D197"/>
    <mergeCell ref="A194:A197"/>
    <mergeCell ref="B246:B247"/>
    <mergeCell ref="C239:C240"/>
    <mergeCell ref="B227:B236"/>
    <mergeCell ref="C227:C236"/>
    <mergeCell ref="D227:D236"/>
    <mergeCell ref="C194:C197"/>
    <mergeCell ref="B207:B210"/>
    <mergeCell ref="C207:C210"/>
    <mergeCell ref="D207:D210"/>
    <mergeCell ref="C223:C226"/>
    <mergeCell ref="A457:A460"/>
    <mergeCell ref="B355:B356"/>
    <mergeCell ref="D402:D403"/>
    <mergeCell ref="D439:D440"/>
    <mergeCell ref="B392:B401"/>
    <mergeCell ref="D422:D426"/>
    <mergeCell ref="A488:A489"/>
    <mergeCell ref="D414:D418"/>
    <mergeCell ref="C439:C440"/>
    <mergeCell ref="B439:B440"/>
    <mergeCell ref="D427:D436"/>
    <mergeCell ref="A358:A365"/>
    <mergeCell ref="C467:C468"/>
    <mergeCell ref="A382:A391"/>
    <mergeCell ref="A477:A478"/>
    <mergeCell ref="A486:A487"/>
    <mergeCell ref="D473:D476"/>
    <mergeCell ref="B469:B472"/>
    <mergeCell ref="C477:C478"/>
    <mergeCell ref="C469:C472"/>
    <mergeCell ref="D469:D472"/>
    <mergeCell ref="B486:B487"/>
    <mergeCell ref="D480:D481"/>
    <mergeCell ref="C484:C485"/>
    <mergeCell ref="E96:E98"/>
    <mergeCell ref="E93:E95"/>
    <mergeCell ref="A63:A64"/>
    <mergeCell ref="D142:D143"/>
    <mergeCell ref="F101:S101"/>
    <mergeCell ref="F156:S156"/>
    <mergeCell ref="A154:A156"/>
    <mergeCell ref="B154:B156"/>
    <mergeCell ref="D154:D156"/>
    <mergeCell ref="A111:A112"/>
    <mergeCell ref="B111:B112"/>
    <mergeCell ref="C111:C112"/>
    <mergeCell ref="D111:D112"/>
    <mergeCell ref="A113:A114"/>
    <mergeCell ref="B113:B114"/>
    <mergeCell ref="C113:C114"/>
    <mergeCell ref="D113:D114"/>
    <mergeCell ref="A147:A148"/>
    <mergeCell ref="A149:A150"/>
    <mergeCell ref="B99:B101"/>
    <mergeCell ref="C99:C101"/>
    <mergeCell ref="E99:E100"/>
    <mergeCell ref="B119:B120"/>
    <mergeCell ref="C119:C120"/>
    <mergeCell ref="E33:E34"/>
    <mergeCell ref="E80:E83"/>
    <mergeCell ref="E27:E28"/>
    <mergeCell ref="E56:E58"/>
    <mergeCell ref="E59:E61"/>
    <mergeCell ref="E42:E43"/>
    <mergeCell ref="E31:E32"/>
    <mergeCell ref="E29:E30"/>
    <mergeCell ref="D63:D64"/>
    <mergeCell ref="D65:D67"/>
    <mergeCell ref="D74:D75"/>
    <mergeCell ref="D42:D45"/>
    <mergeCell ref="E49:E50"/>
    <mergeCell ref="D68:D70"/>
    <mergeCell ref="D71:D73"/>
    <mergeCell ref="E76:E79"/>
    <mergeCell ref="A722:A723"/>
    <mergeCell ref="B84:B85"/>
    <mergeCell ref="C84:C85"/>
    <mergeCell ref="D84:D85"/>
    <mergeCell ref="A84:A85"/>
    <mergeCell ref="A87:A88"/>
    <mergeCell ref="B87:B88"/>
    <mergeCell ref="D87:D88"/>
    <mergeCell ref="C87:C88"/>
    <mergeCell ref="A89:A90"/>
    <mergeCell ref="B117:B118"/>
    <mergeCell ref="C117:C118"/>
    <mergeCell ref="D117:D118"/>
    <mergeCell ref="D567:D570"/>
    <mergeCell ref="D543:D544"/>
    <mergeCell ref="C543:C544"/>
    <mergeCell ref="C538:C540"/>
    <mergeCell ref="C671:C672"/>
    <mergeCell ref="D671:D672"/>
    <mergeCell ref="C673:C674"/>
    <mergeCell ref="D673:D674"/>
    <mergeCell ref="B673:B674"/>
    <mergeCell ref="B675:B676"/>
    <mergeCell ref="C675:C676"/>
    <mergeCell ref="B722:B723"/>
    <mergeCell ref="C722:C723"/>
    <mergeCell ref="D722:D723"/>
    <mergeCell ref="C691:C694"/>
    <mergeCell ref="D691:D694"/>
    <mergeCell ref="D715:D718"/>
    <mergeCell ref="B671:B672"/>
    <mergeCell ref="C695:C698"/>
    <mergeCell ref="D695:D698"/>
    <mergeCell ref="B715:B718"/>
    <mergeCell ref="B691:B694"/>
    <mergeCell ref="B687:B690"/>
    <mergeCell ref="D703:D714"/>
    <mergeCell ref="B699:B702"/>
    <mergeCell ref="C669:C670"/>
    <mergeCell ref="D669:D670"/>
    <mergeCell ref="B669:B670"/>
    <mergeCell ref="C656:C661"/>
    <mergeCell ref="D656:D661"/>
    <mergeCell ref="B656:B661"/>
    <mergeCell ref="B662:B665"/>
    <mergeCell ref="C662:C665"/>
    <mergeCell ref="D662:D665"/>
    <mergeCell ref="B645:B648"/>
    <mergeCell ref="C645:C648"/>
    <mergeCell ref="D645:D648"/>
    <mergeCell ref="B610:B611"/>
    <mergeCell ref="B617:B620"/>
    <mergeCell ref="B612:B613"/>
    <mergeCell ref="D612:D613"/>
    <mergeCell ref="C666:C667"/>
    <mergeCell ref="D666:D667"/>
    <mergeCell ref="B666:B667"/>
    <mergeCell ref="C137:C138"/>
    <mergeCell ref="D137:D138"/>
    <mergeCell ref="D651:D654"/>
    <mergeCell ref="D643:D644"/>
    <mergeCell ref="C643:C644"/>
    <mergeCell ref="B651:B654"/>
    <mergeCell ref="B643:B644"/>
    <mergeCell ref="B350:B352"/>
    <mergeCell ref="C350:C352"/>
    <mergeCell ref="D350:D352"/>
    <mergeCell ref="C488:C489"/>
    <mergeCell ref="C480:C481"/>
    <mergeCell ref="D355:D356"/>
    <mergeCell ref="D477:D478"/>
    <mergeCell ref="C473:C476"/>
    <mergeCell ref="B353:B354"/>
    <mergeCell ref="C422:C426"/>
    <mergeCell ref="B422:B426"/>
    <mergeCell ref="C408:C411"/>
    <mergeCell ref="B638:B641"/>
    <mergeCell ref="B598:B599"/>
    <mergeCell ref="C598:C599"/>
    <mergeCell ref="D598:D599"/>
    <mergeCell ref="B622:B633"/>
    <mergeCell ref="D467:D468"/>
    <mergeCell ref="A348:A349"/>
    <mergeCell ref="A350:A352"/>
    <mergeCell ref="B348:B349"/>
    <mergeCell ref="D147:D148"/>
    <mergeCell ref="D149:D150"/>
    <mergeCell ref="B144:B145"/>
    <mergeCell ref="C144:C145"/>
    <mergeCell ref="D144:D145"/>
    <mergeCell ref="A414:A418"/>
    <mergeCell ref="A427:A436"/>
    <mergeCell ref="A353:A354"/>
    <mergeCell ref="A422:A426"/>
    <mergeCell ref="A420:A421"/>
    <mergeCell ref="A368:A369"/>
    <mergeCell ref="B358:B365"/>
    <mergeCell ref="D353:D354"/>
    <mergeCell ref="C353:C354"/>
    <mergeCell ref="D280:D284"/>
    <mergeCell ref="B280:B284"/>
    <mergeCell ref="B264:B266"/>
    <mergeCell ref="C190:C193"/>
    <mergeCell ref="C267:C268"/>
    <mergeCell ref="D267:D268"/>
    <mergeCell ref="A117:A118"/>
    <mergeCell ref="D119:D120"/>
    <mergeCell ref="A119:A120"/>
    <mergeCell ref="B93:B98"/>
    <mergeCell ref="A123:A124"/>
    <mergeCell ref="C123:C124"/>
    <mergeCell ref="D123:D124"/>
    <mergeCell ref="B89:B92"/>
    <mergeCell ref="C89:C92"/>
    <mergeCell ref="D89:D92"/>
    <mergeCell ref="A102:A103"/>
    <mergeCell ref="B123:B124"/>
    <mergeCell ref="A106:A109"/>
    <mergeCell ref="C106:C109"/>
    <mergeCell ref="D106:D109"/>
    <mergeCell ref="A93:A98"/>
    <mergeCell ref="B76:B83"/>
    <mergeCell ref="C76:C83"/>
    <mergeCell ref="D76:D83"/>
    <mergeCell ref="A76:A83"/>
    <mergeCell ref="D99:D101"/>
    <mergeCell ref="B102:B103"/>
    <mergeCell ref="A99:A101"/>
    <mergeCell ref="A56:A61"/>
    <mergeCell ref="C56:C61"/>
    <mergeCell ref="D56:D61"/>
    <mergeCell ref="A65:A73"/>
    <mergeCell ref="C102:C103"/>
    <mergeCell ref="D102:D103"/>
    <mergeCell ref="B56:B61"/>
    <mergeCell ref="B63:B64"/>
    <mergeCell ref="B65:B73"/>
    <mergeCell ref="C68:C70"/>
    <mergeCell ref="C71:C73"/>
    <mergeCell ref="C63:C64"/>
    <mergeCell ref="C65:C67"/>
    <mergeCell ref="A74:A75"/>
    <mergeCell ref="C74:C75"/>
    <mergeCell ref="B74:B75"/>
    <mergeCell ref="A35:A36"/>
    <mergeCell ref="B21:B26"/>
    <mergeCell ref="C21:C26"/>
    <mergeCell ref="D21:D26"/>
    <mergeCell ref="A21:A26"/>
    <mergeCell ref="B35:B36"/>
    <mergeCell ref="C35:C36"/>
    <mergeCell ref="D35:D36"/>
    <mergeCell ref="A51:A54"/>
    <mergeCell ref="C51:C54"/>
    <mergeCell ref="D51:D54"/>
    <mergeCell ref="B51:B54"/>
    <mergeCell ref="C39:C40"/>
    <mergeCell ref="D39:D40"/>
    <mergeCell ref="B39:B40"/>
    <mergeCell ref="A39:A40"/>
    <mergeCell ref="C47:C50"/>
    <mergeCell ref="A47:A50"/>
    <mergeCell ref="D47:D50"/>
    <mergeCell ref="A42:A45"/>
    <mergeCell ref="C42:C45"/>
    <mergeCell ref="B42:B45"/>
    <mergeCell ref="B48:B50"/>
    <mergeCell ref="C18:C19"/>
    <mergeCell ref="D18:D19"/>
    <mergeCell ref="A18:A19"/>
    <mergeCell ref="B18:B19"/>
    <mergeCell ref="A27:A30"/>
    <mergeCell ref="D27:D30"/>
    <mergeCell ref="A31:A34"/>
    <mergeCell ref="B31:B34"/>
    <mergeCell ref="D31:D34"/>
    <mergeCell ref="C31:C34"/>
    <mergeCell ref="B27:B30"/>
    <mergeCell ref="C27:C30"/>
    <mergeCell ref="C5:C10"/>
    <mergeCell ref="D5:D10"/>
    <mergeCell ref="C11:C12"/>
    <mergeCell ref="D11:D12"/>
    <mergeCell ref="C13:C14"/>
    <mergeCell ref="D13:D14"/>
    <mergeCell ref="B5:B10"/>
    <mergeCell ref="A5:A10"/>
    <mergeCell ref="B11:B12"/>
    <mergeCell ref="A11:A12"/>
    <mergeCell ref="B13:B14"/>
    <mergeCell ref="A13:A14"/>
    <mergeCell ref="M3:N3"/>
    <mergeCell ref="A1:S1"/>
    <mergeCell ref="B2:B4"/>
    <mergeCell ref="F2:F4"/>
    <mergeCell ref="G2:G4"/>
    <mergeCell ref="H2:H4"/>
    <mergeCell ref="I2:K2"/>
    <mergeCell ref="L2:N2"/>
    <mergeCell ref="I3:I4"/>
    <mergeCell ref="J3:K3"/>
    <mergeCell ref="L3:L4"/>
    <mergeCell ref="C2:C4"/>
    <mergeCell ref="D2:D4"/>
    <mergeCell ref="A2:A4"/>
    <mergeCell ref="O2:O4"/>
    <mergeCell ref="P2:P4"/>
    <mergeCell ref="Q2:Q4"/>
    <mergeCell ref="R2:R4"/>
    <mergeCell ref="S2:S4"/>
    <mergeCell ref="E2:E4"/>
    <mergeCell ref="A617:A620"/>
    <mergeCell ref="A531:A532"/>
    <mergeCell ref="A543:A544"/>
    <mergeCell ref="A455:A456"/>
    <mergeCell ref="A439:A440"/>
    <mergeCell ref="A462:A463"/>
    <mergeCell ref="A480:A481"/>
    <mergeCell ref="B427:B436"/>
    <mergeCell ref="B404:B407"/>
    <mergeCell ref="A404:A407"/>
    <mergeCell ref="A437:A438"/>
    <mergeCell ref="B467:B468"/>
    <mergeCell ref="A473:A476"/>
    <mergeCell ref="B480:B481"/>
    <mergeCell ref="B500:B501"/>
    <mergeCell ref="A484:A485"/>
    <mergeCell ref="B484:B485"/>
    <mergeCell ref="B477:B478"/>
    <mergeCell ref="B506:B507"/>
    <mergeCell ref="B538:B540"/>
    <mergeCell ref="B541:B542"/>
    <mergeCell ref="B531:B532"/>
    <mergeCell ref="B543:B544"/>
    <mergeCell ref="B513:B525"/>
    <mergeCell ref="A634:A637"/>
    <mergeCell ref="A645:A648"/>
    <mergeCell ref="A671:A672"/>
    <mergeCell ref="A673:A674"/>
    <mergeCell ref="A669:A670"/>
    <mergeCell ref="A675:A676"/>
    <mergeCell ref="A649:A650"/>
    <mergeCell ref="A638:A641"/>
    <mergeCell ref="A656:A661"/>
    <mergeCell ref="A666:A667"/>
    <mergeCell ref="A651:A654"/>
    <mergeCell ref="A643:A644"/>
    <mergeCell ref="A662:A665"/>
    <mergeCell ref="A574:A575"/>
    <mergeCell ref="A582:A583"/>
    <mergeCell ref="A576:A579"/>
    <mergeCell ref="A612:A613"/>
    <mergeCell ref="A594:A595"/>
    <mergeCell ref="A596:A597"/>
    <mergeCell ref="A585:A590"/>
    <mergeCell ref="C404:C407"/>
    <mergeCell ref="A546:A547"/>
    <mergeCell ref="A610:A611"/>
    <mergeCell ref="B585:B590"/>
    <mergeCell ref="A408:A411"/>
    <mergeCell ref="A464:A465"/>
    <mergeCell ref="A467:A468"/>
    <mergeCell ref="B559:B561"/>
    <mergeCell ref="A469:A472"/>
    <mergeCell ref="B473:B476"/>
    <mergeCell ref="B464:B465"/>
    <mergeCell ref="C464:C465"/>
    <mergeCell ref="A514:A525"/>
    <mergeCell ref="A506:A507"/>
    <mergeCell ref="A500:A501"/>
    <mergeCell ref="A490:A499"/>
    <mergeCell ref="B502:B505"/>
    <mergeCell ref="A223:A226"/>
    <mergeCell ref="A239:A240"/>
    <mergeCell ref="B183:B184"/>
    <mergeCell ref="A272:A275"/>
    <mergeCell ref="C272:C275"/>
    <mergeCell ref="A175:A178"/>
    <mergeCell ref="C345:C346"/>
    <mergeCell ref="A183:A184"/>
    <mergeCell ref="A190:A193"/>
    <mergeCell ref="B272:B275"/>
    <mergeCell ref="B251:B258"/>
    <mergeCell ref="B175:B178"/>
    <mergeCell ref="C175:C178"/>
    <mergeCell ref="A187:A189"/>
    <mergeCell ref="A244:A245"/>
    <mergeCell ref="C285:C286"/>
    <mergeCell ref="A366:A367"/>
    <mergeCell ref="B366:B367"/>
    <mergeCell ref="C311:C316"/>
    <mergeCell ref="C277:C279"/>
    <mergeCell ref="B277:B279"/>
    <mergeCell ref="A277:A279"/>
    <mergeCell ref="B293:B298"/>
    <mergeCell ref="A285:A286"/>
    <mergeCell ref="A287:A292"/>
    <mergeCell ref="B287:B292"/>
    <mergeCell ref="C287:C292"/>
    <mergeCell ref="C293:C298"/>
    <mergeCell ref="A293:A298"/>
    <mergeCell ref="A567:A570"/>
    <mergeCell ref="A571:A572"/>
    <mergeCell ref="A598:A599"/>
    <mergeCell ref="A591:A593"/>
    <mergeCell ref="D179:D180"/>
    <mergeCell ref="D287:D292"/>
    <mergeCell ref="D333:D336"/>
    <mergeCell ref="C183:C184"/>
    <mergeCell ref="B239:B240"/>
    <mergeCell ref="B223:B226"/>
    <mergeCell ref="C339:C340"/>
    <mergeCell ref="D339:D340"/>
    <mergeCell ref="B333:B336"/>
    <mergeCell ref="C333:C336"/>
    <mergeCell ref="C331:C332"/>
    <mergeCell ref="B181:B182"/>
    <mergeCell ref="B311:B316"/>
    <mergeCell ref="B339:B340"/>
    <mergeCell ref="B244:B245"/>
    <mergeCell ref="C244:C245"/>
    <mergeCell ref="C242:C243"/>
    <mergeCell ref="C280:C284"/>
    <mergeCell ref="D337:D338"/>
    <mergeCell ref="B331:B332"/>
    <mergeCell ref="C683:C686"/>
    <mergeCell ref="D683:D686"/>
    <mergeCell ref="E685:E686"/>
    <mergeCell ref="E683:E684"/>
    <mergeCell ref="A527:A530"/>
    <mergeCell ref="C527:C530"/>
    <mergeCell ref="D527:D530"/>
    <mergeCell ref="B563:B564"/>
    <mergeCell ref="C563:C564"/>
    <mergeCell ref="D563:D564"/>
    <mergeCell ref="B535:B537"/>
    <mergeCell ref="A535:A537"/>
    <mergeCell ref="E527:E529"/>
    <mergeCell ref="E677:E679"/>
    <mergeCell ref="E680:E682"/>
    <mergeCell ref="D677:D682"/>
    <mergeCell ref="C677:C682"/>
    <mergeCell ref="B677:B682"/>
    <mergeCell ref="A677:A682"/>
    <mergeCell ref="B683:B686"/>
    <mergeCell ref="A683:A686"/>
    <mergeCell ref="A538:A540"/>
    <mergeCell ref="A541:A542"/>
    <mergeCell ref="A622:A633"/>
    <mergeCell ref="C687:C690"/>
    <mergeCell ref="D687:D690"/>
    <mergeCell ref="E687:E688"/>
    <mergeCell ref="A699:A702"/>
    <mergeCell ref="C699:C702"/>
    <mergeCell ref="D699:D702"/>
    <mergeCell ref="E701:E702"/>
    <mergeCell ref="E699:E700"/>
    <mergeCell ref="B703:B714"/>
    <mergeCell ref="E703:E708"/>
    <mergeCell ref="E689:E690"/>
    <mergeCell ref="A691:A694"/>
    <mergeCell ref="A695:A698"/>
    <mergeCell ref="E697:E698"/>
    <mergeCell ref="E695:E696"/>
    <mergeCell ref="B695:B698"/>
    <mergeCell ref="A715:A718"/>
    <mergeCell ref="B190:B193"/>
    <mergeCell ref="C715:C718"/>
    <mergeCell ref="B402:B403"/>
    <mergeCell ref="A402:A403"/>
    <mergeCell ref="C402:C403"/>
    <mergeCell ref="E717:E718"/>
    <mergeCell ref="E715:E716"/>
    <mergeCell ref="B601:B602"/>
    <mergeCell ref="A601:A602"/>
    <mergeCell ref="C601:C602"/>
    <mergeCell ref="D601:D602"/>
    <mergeCell ref="B603:B607"/>
    <mergeCell ref="A603:A607"/>
    <mergeCell ref="C603:C607"/>
    <mergeCell ref="D603:D607"/>
    <mergeCell ref="E645:E646"/>
    <mergeCell ref="E647:E648"/>
    <mergeCell ref="A703:A714"/>
    <mergeCell ref="C703:C714"/>
    <mergeCell ref="E709:E714"/>
    <mergeCell ref="E691:E692"/>
    <mergeCell ref="E693:E694"/>
    <mergeCell ref="A687:A690"/>
    <mergeCell ref="H391:Q391"/>
    <mergeCell ref="E251:E254"/>
    <mergeCell ref="B299:B310"/>
    <mergeCell ref="C299:C310"/>
    <mergeCell ref="D299:D310"/>
    <mergeCell ref="E299:E304"/>
    <mergeCell ref="E317:E318"/>
    <mergeCell ref="E196:E197"/>
    <mergeCell ref="E246:E247"/>
    <mergeCell ref="F373:S373"/>
    <mergeCell ref="B370:B373"/>
    <mergeCell ref="C370:C373"/>
    <mergeCell ref="D370:D373"/>
    <mergeCell ref="B317:B320"/>
    <mergeCell ref="C317:C320"/>
    <mergeCell ref="D317:D320"/>
    <mergeCell ref="E232:E236"/>
    <mergeCell ref="E227:E231"/>
    <mergeCell ref="B261:B263"/>
    <mergeCell ref="C261:C263"/>
    <mergeCell ref="B337:B338"/>
    <mergeCell ref="C337:C338"/>
    <mergeCell ref="D331:D332"/>
    <mergeCell ref="E319:E320"/>
    <mergeCell ref="E89:E90"/>
    <mergeCell ref="E91:E92"/>
    <mergeCell ref="E334:E336"/>
    <mergeCell ref="D270:D271"/>
    <mergeCell ref="C93:C98"/>
    <mergeCell ref="D93:D98"/>
    <mergeCell ref="B321:B322"/>
    <mergeCell ref="C321:C322"/>
    <mergeCell ref="D321:D322"/>
    <mergeCell ref="B106:B109"/>
    <mergeCell ref="C205:C206"/>
    <mergeCell ref="D205:D206"/>
    <mergeCell ref="C181:C182"/>
    <mergeCell ref="D181:D182"/>
    <mergeCell ref="B187:B189"/>
    <mergeCell ref="C187:C189"/>
    <mergeCell ref="E324:E326"/>
    <mergeCell ref="E327:E329"/>
    <mergeCell ref="E106:E107"/>
    <mergeCell ref="E108:E109"/>
    <mergeCell ref="E175:E176"/>
    <mergeCell ref="C249:C250"/>
    <mergeCell ref="B270:B271"/>
    <mergeCell ref="E194:E195"/>
    <mergeCell ref="A205:A206"/>
    <mergeCell ref="A267:A268"/>
    <mergeCell ref="A355:A356"/>
    <mergeCell ref="A370:A373"/>
    <mergeCell ref="A317:A320"/>
    <mergeCell ref="A339:A340"/>
    <mergeCell ref="A341:A342"/>
    <mergeCell ref="A270:A271"/>
    <mergeCell ref="A301:A310"/>
    <mergeCell ref="A249:A250"/>
    <mergeCell ref="A324:A329"/>
    <mergeCell ref="A321:A322"/>
    <mergeCell ref="A280:A284"/>
    <mergeCell ref="A337:A338"/>
    <mergeCell ref="A311:A316"/>
    <mergeCell ref="A333:A336"/>
    <mergeCell ref="A261:A263"/>
    <mergeCell ref="A251:A258"/>
    <mergeCell ref="A264:A266"/>
    <mergeCell ref="A227:A231"/>
    <mergeCell ref="A207:A210"/>
    <mergeCell ref="A331:A332"/>
    <mergeCell ref="A242:A243"/>
    <mergeCell ref="A345:A346"/>
    <mergeCell ref="E554:E558"/>
    <mergeCell ref="B552:B558"/>
    <mergeCell ref="C552:C558"/>
    <mergeCell ref="D552:D558"/>
    <mergeCell ref="A552:A558"/>
    <mergeCell ref="E651:E654"/>
    <mergeCell ref="B324:B329"/>
    <mergeCell ref="C324:C329"/>
    <mergeCell ref="D324:D329"/>
    <mergeCell ref="E457:E458"/>
    <mergeCell ref="E404:E405"/>
    <mergeCell ref="C341:C342"/>
    <mergeCell ref="D341:D342"/>
    <mergeCell ref="D358:D365"/>
    <mergeCell ref="B341:B342"/>
    <mergeCell ref="B345:B346"/>
    <mergeCell ref="A374:A377"/>
    <mergeCell ref="A392:A401"/>
    <mergeCell ref="D488:D489"/>
    <mergeCell ref="C355:C356"/>
    <mergeCell ref="A502:A505"/>
    <mergeCell ref="B382:B391"/>
    <mergeCell ref="A550:A551"/>
    <mergeCell ref="A559:A561"/>
    <mergeCell ref="A131:A134"/>
    <mergeCell ref="B125:B130"/>
    <mergeCell ref="C125:C130"/>
    <mergeCell ref="D125:D130"/>
    <mergeCell ref="E128:E130"/>
    <mergeCell ref="E125:E127"/>
    <mergeCell ref="A125:A130"/>
    <mergeCell ref="E177:E178"/>
    <mergeCell ref="E200:E201"/>
    <mergeCell ref="B179:B180"/>
    <mergeCell ref="A179:A180"/>
    <mergeCell ref="A181:A182"/>
    <mergeCell ref="E190:E191"/>
    <mergeCell ref="C149:C150"/>
    <mergeCell ref="B149:B150"/>
    <mergeCell ref="A137:A138"/>
    <mergeCell ref="A144:A145"/>
    <mergeCell ref="A142:A143"/>
    <mergeCell ref="B142:B143"/>
    <mergeCell ref="B137:B138"/>
    <mergeCell ref="C142:C143"/>
    <mergeCell ref="D175:D178"/>
    <mergeCell ref="C147:C148"/>
    <mergeCell ref="B147:B148"/>
    <mergeCell ref="E374:E375"/>
    <mergeCell ref="B374:B380"/>
    <mergeCell ref="C374:C380"/>
    <mergeCell ref="D374:D380"/>
    <mergeCell ref="E376:E380"/>
    <mergeCell ref="E287:E289"/>
    <mergeCell ref="E290:E292"/>
    <mergeCell ref="E132:E134"/>
    <mergeCell ref="D131:D134"/>
    <mergeCell ref="C131:C134"/>
    <mergeCell ref="B131:B134"/>
    <mergeCell ref="D239:D240"/>
    <mergeCell ref="B249:B250"/>
    <mergeCell ref="C246:C247"/>
    <mergeCell ref="D246:D247"/>
    <mergeCell ref="B205:B206"/>
    <mergeCell ref="D242:D243"/>
    <mergeCell ref="E202:E204"/>
    <mergeCell ref="B285:B286"/>
    <mergeCell ref="C270:C271"/>
    <mergeCell ref="C264:C266"/>
    <mergeCell ref="C251:C258"/>
    <mergeCell ref="D223:D226"/>
    <mergeCell ref="D249:D250"/>
  </mergeCells>
  <pageMargins left="0.15748031496063" right="0.196850393700787" top="0.27559055118110198" bottom="0.196850393700787" header="0.31496062992126" footer="0.196850393700787"/>
  <pageSetup scale="10" fitToWidth="7" fitToHeight="9" orientation="landscape" horizontalDpi="4294967295" verticalDpi="4294967295" r:id="rId1"/>
  <headerFooter alignWithMargins="0">
    <oddFooter>&amp;C&amp;"Arial,Regular"&amp;36&amp;Z&amp;F</oddFooter>
  </headerFooter>
  <rowBreaks count="8" manualBreakCount="8">
    <brk id="50" min="1" max="18" man="1"/>
    <brk id="62" min="1" max="18" man="1"/>
    <brk id="88" min="1" max="18" man="1"/>
    <brk id="139" min="1" max="18" man="1"/>
    <brk id="350" min="1" max="18" man="1"/>
    <brk id="388" min="1" max="18" man="1"/>
    <brk id="404" min="1" max="18" man="1"/>
    <brk id="472" min="1" max="1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0"/>
  </sheetPr>
  <dimension ref="A1:AC1387"/>
  <sheetViews>
    <sheetView view="pageBreakPreview" zoomScale="17" zoomScaleNormal="10" zoomScaleSheetLayoutView="17" workbookViewId="0">
      <selection sqref="A1:R1"/>
    </sheetView>
  </sheetViews>
  <sheetFormatPr defaultColWidth="9.140625" defaultRowHeight="60" x14ac:dyDescent="0.8"/>
  <cols>
    <col min="1" max="1" width="22.140625" style="95" customWidth="1"/>
    <col min="2" max="2" width="172.42578125" style="30" customWidth="1"/>
    <col min="3" max="3" width="86.42578125" style="30" customWidth="1"/>
    <col min="4" max="4" width="91.7109375" style="191" customWidth="1"/>
    <col min="5" max="5" width="24.5703125" style="10" customWidth="1"/>
    <col min="6" max="6" width="31.85546875" style="95" customWidth="1"/>
    <col min="7" max="7" width="50.140625" style="96" customWidth="1"/>
    <col min="8" max="8" width="53.42578125" style="10" customWidth="1"/>
    <col min="9" max="9" width="51" style="10" customWidth="1"/>
    <col min="10" max="10" width="44.7109375" style="10" customWidth="1"/>
    <col min="11" max="11" width="55.28515625" style="10" customWidth="1"/>
    <col min="12" max="12" width="52.140625" style="30" customWidth="1"/>
    <col min="13" max="13" width="48.140625" style="10" customWidth="1"/>
    <col min="14" max="14" width="49.42578125" style="10" customWidth="1"/>
    <col min="15" max="15" width="78.42578125" style="10" customWidth="1"/>
    <col min="16" max="16" width="55.42578125" style="10" customWidth="1"/>
    <col min="17" max="17" width="111.5703125" style="10" customWidth="1"/>
    <col min="18" max="18" width="161.42578125" style="97" customWidth="1"/>
    <col min="19" max="19" width="9.140625" style="10"/>
    <col min="20" max="20" width="36.85546875" style="10" bestFit="1" customWidth="1"/>
    <col min="21" max="16384" width="9.140625" style="10"/>
  </cols>
  <sheetData>
    <row r="1" spans="1:29" s="1" customFormat="1" ht="63.75" customHeight="1" thickBot="1" x14ac:dyDescent="0.9">
      <c r="A1" s="389" t="s">
        <v>501</v>
      </c>
      <c r="B1" s="390"/>
      <c r="C1" s="390"/>
      <c r="D1" s="390"/>
      <c r="E1" s="390"/>
      <c r="F1" s="390"/>
      <c r="G1" s="390"/>
      <c r="H1" s="390"/>
      <c r="I1" s="390"/>
      <c r="J1" s="390"/>
      <c r="K1" s="390"/>
      <c r="L1" s="390"/>
      <c r="M1" s="390"/>
      <c r="N1" s="390"/>
      <c r="O1" s="390"/>
      <c r="P1" s="390"/>
      <c r="Q1" s="391"/>
      <c r="R1" s="391"/>
    </row>
    <row r="2" spans="1:29" s="3" customFormat="1" ht="315.75" thickBot="1" x14ac:dyDescent="0.75">
      <c r="A2" s="135" t="s">
        <v>0</v>
      </c>
      <c r="B2" s="392" t="s">
        <v>1</v>
      </c>
      <c r="C2" s="104"/>
      <c r="D2" s="184"/>
      <c r="E2" s="392" t="s">
        <v>2</v>
      </c>
      <c r="F2" s="392" t="s">
        <v>3</v>
      </c>
      <c r="G2" s="392" t="s">
        <v>4</v>
      </c>
      <c r="H2" s="393" t="s">
        <v>5</v>
      </c>
      <c r="I2" s="393"/>
      <c r="J2" s="393"/>
      <c r="K2" s="393" t="s">
        <v>6</v>
      </c>
      <c r="L2" s="393"/>
      <c r="M2" s="393"/>
      <c r="N2" s="135" t="s">
        <v>7</v>
      </c>
      <c r="O2" s="135" t="s">
        <v>8</v>
      </c>
      <c r="P2" s="135" t="s">
        <v>9</v>
      </c>
      <c r="Q2" s="106" t="s">
        <v>10</v>
      </c>
      <c r="R2" s="2" t="s">
        <v>11</v>
      </c>
      <c r="AC2" s="4"/>
    </row>
    <row r="3" spans="1:29" s="7" customFormat="1" ht="237" customHeight="1" thickBot="1" x14ac:dyDescent="0.75">
      <c r="A3" s="135"/>
      <c r="B3" s="392"/>
      <c r="C3" s="104"/>
      <c r="D3" s="184"/>
      <c r="E3" s="392"/>
      <c r="F3" s="392"/>
      <c r="G3" s="392"/>
      <c r="H3" s="393" t="s">
        <v>502</v>
      </c>
      <c r="I3" s="393" t="s">
        <v>12</v>
      </c>
      <c r="J3" s="393"/>
      <c r="K3" s="393" t="s">
        <v>503</v>
      </c>
      <c r="L3" s="393" t="s">
        <v>13</v>
      </c>
      <c r="M3" s="393"/>
      <c r="N3" s="136"/>
      <c r="O3" s="137"/>
      <c r="P3" s="136"/>
      <c r="Q3" s="107"/>
      <c r="R3" s="5"/>
      <c r="S3" s="6"/>
      <c r="T3" s="6"/>
      <c r="U3" s="6"/>
      <c r="V3" s="6"/>
      <c r="W3" s="6"/>
      <c r="X3" s="6"/>
      <c r="Y3" s="6"/>
      <c r="Z3" s="6"/>
      <c r="AA3" s="6"/>
      <c r="AB3" s="6"/>
      <c r="AC3" s="6"/>
    </row>
    <row r="4" spans="1:29" s="7" customFormat="1" ht="167.45" customHeight="1" thickTop="1" thickBot="1" x14ac:dyDescent="0.75">
      <c r="A4" s="135"/>
      <c r="B4" s="392"/>
      <c r="C4" s="104"/>
      <c r="D4" s="184"/>
      <c r="E4" s="392"/>
      <c r="F4" s="392"/>
      <c r="G4" s="392"/>
      <c r="H4" s="393"/>
      <c r="I4" s="135" t="s">
        <v>14</v>
      </c>
      <c r="J4" s="135" t="s">
        <v>15</v>
      </c>
      <c r="K4" s="393"/>
      <c r="L4" s="135" t="s">
        <v>16</v>
      </c>
      <c r="M4" s="135" t="s">
        <v>17</v>
      </c>
      <c r="N4" s="136"/>
      <c r="O4" s="136"/>
      <c r="P4" s="136"/>
      <c r="Q4" s="108"/>
      <c r="R4" s="8"/>
      <c r="S4" s="6"/>
      <c r="T4" s="6"/>
      <c r="U4" s="6"/>
      <c r="V4" s="6"/>
      <c r="W4" s="6"/>
      <c r="X4" s="6"/>
      <c r="Y4" s="6"/>
      <c r="Z4" s="6"/>
      <c r="AA4" s="6"/>
      <c r="AB4" s="6"/>
      <c r="AC4" s="6"/>
    </row>
    <row r="5" spans="1:29" ht="317.10000000000002" customHeight="1" thickTop="1" thickBot="1" x14ac:dyDescent="0.8">
      <c r="A5" s="394">
        <v>1</v>
      </c>
      <c r="B5" s="397" t="s">
        <v>512</v>
      </c>
      <c r="C5" s="400" t="s">
        <v>511</v>
      </c>
      <c r="D5" s="403">
        <v>32949025860</v>
      </c>
      <c r="E5" s="154" t="s">
        <v>18</v>
      </c>
      <c r="F5" s="154">
        <v>51.686999999999998</v>
      </c>
      <c r="G5" s="155">
        <v>254.798675</v>
      </c>
      <c r="H5" s="155">
        <f>+G5*0.005</f>
        <v>1.2739933750000001</v>
      </c>
      <c r="I5" s="155">
        <v>0</v>
      </c>
      <c r="J5" s="155">
        <f>(860)*1000/1000000</f>
        <v>0.86</v>
      </c>
      <c r="K5" s="155">
        <f>+G5*(8.5/100)</f>
        <v>21.657887375000001</v>
      </c>
      <c r="L5" s="156">
        <v>0</v>
      </c>
      <c r="M5" s="155">
        <f>(14612.8)*1000/1000000</f>
        <v>14.6128</v>
      </c>
      <c r="N5" s="155">
        <f t="shared" ref="N5:N68" si="0">+H5+K5</f>
        <v>22.931880750000001</v>
      </c>
      <c r="O5" s="155">
        <f t="shared" ref="O5:O20" si="1">+((I5+J5)+(L5+M5))</f>
        <v>15.472799999999999</v>
      </c>
      <c r="P5" s="155">
        <f t="shared" ref="P5:P42" si="2">+N5-O5</f>
        <v>7.4590807500000018</v>
      </c>
      <c r="Q5" s="157" t="s">
        <v>284</v>
      </c>
      <c r="R5" s="158" t="s">
        <v>504</v>
      </c>
      <c r="S5" s="10" t="s">
        <v>282</v>
      </c>
      <c r="T5" s="10" t="s">
        <v>283</v>
      </c>
    </row>
    <row r="6" spans="1:29" ht="317.10000000000002" customHeight="1" thickBot="1" x14ac:dyDescent="0.8">
      <c r="A6" s="395"/>
      <c r="B6" s="398"/>
      <c r="C6" s="401"/>
      <c r="D6" s="404"/>
      <c r="E6" s="154" t="s">
        <v>20</v>
      </c>
      <c r="F6" s="154">
        <v>51.686999999999998</v>
      </c>
      <c r="G6" s="155">
        <v>258.28650299999998</v>
      </c>
      <c r="H6" s="155">
        <f>+G6*0.005</f>
        <v>1.2914325149999999</v>
      </c>
      <c r="I6" s="155">
        <v>0</v>
      </c>
      <c r="J6" s="155">
        <f>((1020*1000)/1000000)</f>
        <v>1.02</v>
      </c>
      <c r="K6" s="155">
        <f>+G6*(8.5/100)</f>
        <v>21.954352754999999</v>
      </c>
      <c r="L6" s="156">
        <v>0</v>
      </c>
      <c r="M6" s="155">
        <f>((17337*1000)/1000000)</f>
        <v>17.337</v>
      </c>
      <c r="N6" s="155">
        <f t="shared" si="0"/>
        <v>23.245785269999999</v>
      </c>
      <c r="O6" s="155">
        <f t="shared" si="1"/>
        <v>18.356999999999999</v>
      </c>
      <c r="P6" s="155">
        <f t="shared" si="2"/>
        <v>4.8887852699999996</v>
      </c>
      <c r="Q6" s="157" t="s">
        <v>284</v>
      </c>
      <c r="R6" s="158" t="s">
        <v>505</v>
      </c>
      <c r="S6" s="10" t="s">
        <v>282</v>
      </c>
      <c r="T6" s="10" t="s">
        <v>283</v>
      </c>
    </row>
    <row r="7" spans="1:29" ht="317.10000000000002" customHeight="1" thickBot="1" x14ac:dyDescent="0.8">
      <c r="A7" s="395"/>
      <c r="B7" s="398"/>
      <c r="C7" s="401"/>
      <c r="D7" s="404"/>
      <c r="E7" s="154" t="s">
        <v>21</v>
      </c>
      <c r="F7" s="154">
        <v>51.686999999999998</v>
      </c>
      <c r="G7" s="155">
        <v>284.89678600000002</v>
      </c>
      <c r="H7" s="155">
        <f>+G7*0.01</f>
        <v>2.8489678600000001</v>
      </c>
      <c r="I7" s="155">
        <v>0</v>
      </c>
      <c r="J7" s="155">
        <f>(2416*1000)/1000000</f>
        <v>2.4159999999999999</v>
      </c>
      <c r="K7" s="155">
        <f>+G7*(10/100)</f>
        <v>28.489678600000005</v>
      </c>
      <c r="L7" s="156">
        <v>0</v>
      </c>
      <c r="M7" s="155">
        <f>(24163*1000)/1000000</f>
        <v>24.163</v>
      </c>
      <c r="N7" s="155">
        <f t="shared" si="0"/>
        <v>31.338646460000007</v>
      </c>
      <c r="O7" s="155">
        <f t="shared" si="1"/>
        <v>26.579000000000001</v>
      </c>
      <c r="P7" s="155">
        <f t="shared" si="2"/>
        <v>4.7596464600000061</v>
      </c>
      <c r="Q7" s="157" t="s">
        <v>284</v>
      </c>
      <c r="R7" s="158" t="s">
        <v>506</v>
      </c>
      <c r="S7" s="10" t="s">
        <v>282</v>
      </c>
      <c r="T7" s="10" t="s">
        <v>283</v>
      </c>
    </row>
    <row r="8" spans="1:29" ht="317.10000000000002" customHeight="1" thickBot="1" x14ac:dyDescent="0.8">
      <c r="A8" s="395"/>
      <c r="B8" s="398"/>
      <c r="C8" s="401"/>
      <c r="D8" s="404"/>
      <c r="E8" s="154" t="s">
        <v>22</v>
      </c>
      <c r="F8" s="159">
        <v>40</v>
      </c>
      <c r="G8" s="155">
        <f>255274934/1000000</f>
        <v>255.274934</v>
      </c>
      <c r="H8" s="155">
        <f>+G8*0.02</f>
        <v>5.1054986800000002</v>
      </c>
      <c r="I8" s="155">
        <v>0</v>
      </c>
      <c r="J8" s="155">
        <f>((3650+1227)*1000)/1000000</f>
        <v>4.8769999999999998</v>
      </c>
      <c r="K8" s="155">
        <f>+G8*(10.5/100)</f>
        <v>26.80386807</v>
      </c>
      <c r="L8" s="156">
        <v>0</v>
      </c>
      <c r="M8" s="155">
        <f>((1837+8797+11941+712+2317)*1000)/1000000</f>
        <v>25.603999999999999</v>
      </c>
      <c r="N8" s="155">
        <f t="shared" si="0"/>
        <v>31.90936675</v>
      </c>
      <c r="O8" s="155">
        <f t="shared" si="1"/>
        <v>30.480999999999998</v>
      </c>
      <c r="P8" s="155">
        <f t="shared" si="2"/>
        <v>1.4283667500000021</v>
      </c>
      <c r="Q8" s="160" t="s">
        <v>19</v>
      </c>
      <c r="R8" s="158" t="s">
        <v>23</v>
      </c>
      <c r="S8" s="7" t="s">
        <v>282</v>
      </c>
      <c r="T8" s="7" t="s">
        <v>283</v>
      </c>
      <c r="U8" s="7"/>
      <c r="V8" s="7"/>
      <c r="W8" s="7"/>
      <c r="X8" s="7"/>
      <c r="Y8" s="7"/>
      <c r="Z8" s="7"/>
      <c r="AA8" s="7"/>
      <c r="AB8" s="7"/>
      <c r="AC8" s="7"/>
    </row>
    <row r="9" spans="1:29" ht="317.10000000000002" customHeight="1" thickBot="1" x14ac:dyDescent="0.8">
      <c r="A9" s="395"/>
      <c r="B9" s="398"/>
      <c r="C9" s="401"/>
      <c r="D9" s="404"/>
      <c r="E9" s="154" t="s">
        <v>24</v>
      </c>
      <c r="F9" s="159">
        <v>40</v>
      </c>
      <c r="G9" s="161">
        <v>292.65282500000001</v>
      </c>
      <c r="H9" s="155">
        <f>+G9*(2.75/100)</f>
        <v>8.0479526875000005</v>
      </c>
      <c r="I9" s="155">
        <v>0</v>
      </c>
      <c r="J9" s="155">
        <f>((0)*1000)/1000000</f>
        <v>0</v>
      </c>
      <c r="K9" s="155">
        <f>+G9*(11/100)</f>
        <v>32.191810750000002</v>
      </c>
      <c r="L9" s="156">
        <v>0</v>
      </c>
      <c r="M9" s="155">
        <f>((0)*1000)/1000000</f>
        <v>0</v>
      </c>
      <c r="N9" s="155">
        <f t="shared" si="0"/>
        <v>40.239763437500002</v>
      </c>
      <c r="O9" s="155">
        <f t="shared" si="1"/>
        <v>0</v>
      </c>
      <c r="P9" s="155">
        <f t="shared" si="2"/>
        <v>40.239763437500002</v>
      </c>
      <c r="Q9" s="157" t="s">
        <v>494</v>
      </c>
      <c r="R9" s="158" t="s">
        <v>26</v>
      </c>
      <c r="S9" s="7" t="s">
        <v>282</v>
      </c>
      <c r="T9" s="7" t="s">
        <v>283</v>
      </c>
      <c r="U9" s="7"/>
      <c r="V9" s="7"/>
      <c r="W9" s="7"/>
      <c r="X9" s="7"/>
      <c r="Y9" s="7"/>
      <c r="Z9" s="7"/>
      <c r="AA9" s="7"/>
      <c r="AB9" s="7"/>
      <c r="AC9" s="7"/>
    </row>
    <row r="10" spans="1:29" s="1" customFormat="1" ht="317.10000000000002" customHeight="1" thickBot="1" x14ac:dyDescent="0.8">
      <c r="A10" s="396"/>
      <c r="B10" s="399"/>
      <c r="C10" s="402"/>
      <c r="D10" s="405"/>
      <c r="E10" s="162" t="s">
        <v>27</v>
      </c>
      <c r="F10" s="162">
        <v>40</v>
      </c>
      <c r="G10" s="162">
        <v>324.52539999999999</v>
      </c>
      <c r="H10" s="163">
        <f>+G10*(3.5/100)</f>
        <v>11.358389000000001</v>
      </c>
      <c r="I10" s="163">
        <v>0</v>
      </c>
      <c r="J10" s="163">
        <v>0</v>
      </c>
      <c r="K10" s="163">
        <f>+G10*(11.5/100)</f>
        <v>37.320421000000003</v>
      </c>
      <c r="L10" s="164">
        <v>0</v>
      </c>
      <c r="M10" s="163">
        <v>0</v>
      </c>
      <c r="N10" s="163">
        <f t="shared" si="0"/>
        <v>48.678810000000006</v>
      </c>
      <c r="O10" s="163">
        <f t="shared" si="1"/>
        <v>0</v>
      </c>
      <c r="P10" s="163">
        <f t="shared" si="2"/>
        <v>48.678810000000006</v>
      </c>
      <c r="Q10" s="157" t="s">
        <v>497</v>
      </c>
      <c r="R10" s="165" t="s">
        <v>28</v>
      </c>
      <c r="S10" s="14" t="s">
        <v>282</v>
      </c>
      <c r="T10" s="14" t="s">
        <v>283</v>
      </c>
      <c r="U10" s="14"/>
      <c r="V10" s="14"/>
      <c r="W10" s="14"/>
      <c r="X10" s="14"/>
      <c r="Y10" s="14"/>
      <c r="Z10" s="14"/>
      <c r="AA10" s="14"/>
      <c r="AB10" s="14"/>
      <c r="AC10" s="14"/>
    </row>
    <row r="11" spans="1:29" s="1" customFormat="1" ht="366.95" customHeight="1" thickBot="1" x14ac:dyDescent="0.8">
      <c r="A11" s="394">
        <v>2</v>
      </c>
      <c r="B11" s="397" t="s">
        <v>513</v>
      </c>
      <c r="C11" s="400" t="s">
        <v>511</v>
      </c>
      <c r="D11" s="403">
        <v>30749025370</v>
      </c>
      <c r="E11" s="154" t="s">
        <v>18</v>
      </c>
      <c r="F11" s="154">
        <v>3</v>
      </c>
      <c r="G11" s="167">
        <v>1.1092</v>
      </c>
      <c r="H11" s="167">
        <f>+G11*0.005</f>
        <v>5.5459999999999997E-3</v>
      </c>
      <c r="I11" s="167">
        <v>0</v>
      </c>
      <c r="J11" s="167">
        <v>5.0000000000000001E-3</v>
      </c>
      <c r="K11" s="167">
        <f>+G11*(8.5/100)</f>
        <v>9.4282000000000005E-2</v>
      </c>
      <c r="L11" s="168">
        <v>0</v>
      </c>
      <c r="M11" s="167">
        <v>7.4999999999999997E-2</v>
      </c>
      <c r="N11" s="167">
        <f t="shared" si="0"/>
        <v>9.9828E-2</v>
      </c>
      <c r="O11" s="167">
        <f t="shared" si="1"/>
        <v>0.08</v>
      </c>
      <c r="P11" s="167">
        <f t="shared" si="2"/>
        <v>1.9827999999999998E-2</v>
      </c>
      <c r="Q11" s="169" t="s">
        <v>284</v>
      </c>
      <c r="R11" s="170" t="s">
        <v>507</v>
      </c>
      <c r="S11" s="15" t="s">
        <v>282</v>
      </c>
      <c r="T11" s="15" t="s">
        <v>283</v>
      </c>
      <c r="U11" s="15"/>
      <c r="V11" s="15"/>
      <c r="W11" s="15"/>
      <c r="X11" s="15"/>
      <c r="Y11" s="15"/>
      <c r="Z11" s="15"/>
      <c r="AA11" s="15"/>
      <c r="AB11" s="15"/>
      <c r="AC11" s="15"/>
    </row>
    <row r="12" spans="1:29" s="3" customFormat="1" ht="363" customHeight="1" thickBot="1" x14ac:dyDescent="0.8">
      <c r="A12" s="396"/>
      <c r="B12" s="399"/>
      <c r="C12" s="402"/>
      <c r="D12" s="405"/>
      <c r="E12" s="154" t="s">
        <v>20</v>
      </c>
      <c r="F12" s="154">
        <v>3</v>
      </c>
      <c r="G12" s="155">
        <v>12.881535</v>
      </c>
      <c r="H12" s="155">
        <f>+G12*0.005</f>
        <v>6.4407674999999998E-2</v>
      </c>
      <c r="I12" s="155">
        <v>0</v>
      </c>
      <c r="J12" s="155">
        <f>(34+29)*1000/1000000</f>
        <v>6.3E-2</v>
      </c>
      <c r="K12" s="155">
        <f>+G12*(8.5/100)</f>
        <v>1.094930475</v>
      </c>
      <c r="L12" s="156">
        <v>0</v>
      </c>
      <c r="M12" s="155">
        <f>(563+488)*1000/1000000</f>
        <v>1.0509999999999999</v>
      </c>
      <c r="N12" s="155">
        <f t="shared" si="0"/>
        <v>1.15933815</v>
      </c>
      <c r="O12" s="155">
        <f t="shared" si="1"/>
        <v>1.1139999999999999</v>
      </c>
      <c r="P12" s="155">
        <f t="shared" si="2"/>
        <v>4.5338150000000077E-2</v>
      </c>
      <c r="Q12" s="171" t="s">
        <v>284</v>
      </c>
      <c r="R12" s="172" t="s">
        <v>508</v>
      </c>
      <c r="S12" s="15" t="s">
        <v>282</v>
      </c>
      <c r="T12" s="15" t="s">
        <v>283</v>
      </c>
      <c r="U12" s="15"/>
      <c r="V12" s="15"/>
      <c r="W12" s="15"/>
      <c r="X12" s="15"/>
      <c r="Y12" s="15"/>
      <c r="Z12" s="15"/>
      <c r="AA12" s="15"/>
      <c r="AB12" s="15"/>
      <c r="AC12" s="15"/>
    </row>
    <row r="13" spans="1:29" s="1" customFormat="1" ht="317.10000000000002" customHeight="1" thickBot="1" x14ac:dyDescent="0.8">
      <c r="A13" s="394">
        <v>3</v>
      </c>
      <c r="B13" s="397" t="s">
        <v>514</v>
      </c>
      <c r="C13" s="394" t="s">
        <v>511</v>
      </c>
      <c r="D13" s="409">
        <v>184029020861</v>
      </c>
      <c r="E13" s="154" t="s">
        <v>18</v>
      </c>
      <c r="F13" s="154">
        <v>4.99</v>
      </c>
      <c r="G13" s="155">
        <v>11.705</v>
      </c>
      <c r="H13" s="155">
        <f>+G13*0.005</f>
        <v>5.8525000000000001E-2</v>
      </c>
      <c r="I13" s="155">
        <v>0</v>
      </c>
      <c r="J13" s="155">
        <v>4.99E-2</v>
      </c>
      <c r="K13" s="155">
        <f>+G13*(8.5/100)</f>
        <v>0.99492500000000006</v>
      </c>
      <c r="L13" s="156">
        <v>0</v>
      </c>
      <c r="M13" s="155">
        <f>(47+154+52+49+54+64+62)/1000</f>
        <v>0.48199999999999998</v>
      </c>
      <c r="N13" s="155">
        <f t="shared" si="0"/>
        <v>1.05345</v>
      </c>
      <c r="O13" s="155">
        <f t="shared" si="1"/>
        <v>0.53190000000000004</v>
      </c>
      <c r="P13" s="155">
        <f t="shared" si="2"/>
        <v>0.52154999999999996</v>
      </c>
      <c r="Q13" s="157" t="s">
        <v>284</v>
      </c>
      <c r="R13" s="158" t="s">
        <v>509</v>
      </c>
      <c r="S13" s="15" t="s">
        <v>282</v>
      </c>
      <c r="T13" s="15" t="s">
        <v>283</v>
      </c>
      <c r="U13" s="15"/>
      <c r="V13" s="15"/>
      <c r="W13" s="15"/>
      <c r="X13" s="15"/>
      <c r="Y13" s="15"/>
      <c r="Z13" s="15"/>
      <c r="AA13" s="15"/>
      <c r="AB13" s="15"/>
      <c r="AC13" s="15"/>
    </row>
    <row r="14" spans="1:29" s="1" customFormat="1" ht="317.10000000000002" customHeight="1" thickBot="1" x14ac:dyDescent="0.8">
      <c r="A14" s="396"/>
      <c r="B14" s="399"/>
      <c r="C14" s="396"/>
      <c r="D14" s="411"/>
      <c r="E14" s="154" t="s">
        <v>20</v>
      </c>
      <c r="F14" s="154">
        <v>4.5</v>
      </c>
      <c r="G14" s="155">
        <v>17.432845</v>
      </c>
      <c r="H14" s="155">
        <f>+G14*0.005</f>
        <v>8.7164224999999998E-2</v>
      </c>
      <c r="I14" s="155">
        <v>0</v>
      </c>
      <c r="J14" s="155">
        <f>(159)*1000/1000000</f>
        <v>0.159</v>
      </c>
      <c r="K14" s="155">
        <f>+G14*(8.5/100)</f>
        <v>1.4817918250000002</v>
      </c>
      <c r="L14" s="156">
        <v>0</v>
      </c>
      <c r="M14" s="155">
        <f>(2708)*1000/1000000</f>
        <v>2.7080000000000002</v>
      </c>
      <c r="N14" s="155">
        <f t="shared" si="0"/>
        <v>1.5689560500000002</v>
      </c>
      <c r="O14" s="155">
        <f t="shared" si="1"/>
        <v>2.867</v>
      </c>
      <c r="P14" s="155">
        <f t="shared" si="2"/>
        <v>-1.2980439499999998</v>
      </c>
      <c r="Q14" s="157" t="s">
        <v>284</v>
      </c>
      <c r="R14" s="158" t="s">
        <v>510</v>
      </c>
      <c r="S14" s="15" t="s">
        <v>282</v>
      </c>
      <c r="T14" s="15" t="s">
        <v>310</v>
      </c>
      <c r="U14" s="15"/>
      <c r="V14" s="15"/>
      <c r="W14" s="15"/>
      <c r="X14" s="15"/>
      <c r="Y14" s="15"/>
      <c r="Z14" s="15"/>
      <c r="AA14" s="15"/>
      <c r="AB14" s="15"/>
      <c r="AC14" s="15"/>
    </row>
    <row r="15" spans="1:29" s="7" customFormat="1" ht="317.10000000000002" customHeight="1" thickTop="1" thickBot="1" x14ac:dyDescent="0.8">
      <c r="A15" s="20">
        <v>4</v>
      </c>
      <c r="B15" s="166" t="s">
        <v>516</v>
      </c>
      <c r="C15" s="20" t="s">
        <v>511</v>
      </c>
      <c r="D15" s="153">
        <v>267419004050</v>
      </c>
      <c r="E15" s="154" t="s">
        <v>20</v>
      </c>
      <c r="F15" s="154">
        <v>1.8</v>
      </c>
      <c r="G15" s="155">
        <v>1.479336</v>
      </c>
      <c r="H15" s="155">
        <f t="shared" ref="H15:H17" si="3">+G15*0.005</f>
        <v>7.3966800000000001E-3</v>
      </c>
      <c r="I15" s="155">
        <v>0</v>
      </c>
      <c r="J15" s="155">
        <v>0</v>
      </c>
      <c r="K15" s="155">
        <f t="shared" ref="K15:K17" si="4">+G15*(8.5/100)</f>
        <v>0.12574356</v>
      </c>
      <c r="L15" s="156">
        <v>0</v>
      </c>
      <c r="M15" s="155">
        <v>0</v>
      </c>
      <c r="N15" s="155">
        <f t="shared" si="0"/>
        <v>0.13314023999999999</v>
      </c>
      <c r="O15" s="155">
        <f t="shared" si="1"/>
        <v>0</v>
      </c>
      <c r="P15" s="155">
        <f t="shared" si="2"/>
        <v>0.13314023999999999</v>
      </c>
      <c r="Q15" s="173" t="s">
        <v>19</v>
      </c>
      <c r="R15" s="174" t="s">
        <v>447</v>
      </c>
      <c r="S15" s="10" t="s">
        <v>344</v>
      </c>
      <c r="T15" s="10"/>
      <c r="U15" s="10"/>
      <c r="V15" s="10"/>
      <c r="W15" s="10"/>
      <c r="X15" s="10"/>
      <c r="Y15" s="10"/>
      <c r="Z15" s="10"/>
      <c r="AA15" s="10"/>
      <c r="AB15" s="10"/>
      <c r="AC15" s="10"/>
    </row>
    <row r="16" spans="1:29" s="7" customFormat="1" ht="317.10000000000002" customHeight="1" thickTop="1" thickBot="1" x14ac:dyDescent="0.8">
      <c r="A16" s="20">
        <v>5</v>
      </c>
      <c r="B16" s="166" t="s">
        <v>517</v>
      </c>
      <c r="C16" s="20" t="s">
        <v>511</v>
      </c>
      <c r="D16" s="153">
        <v>203509020033</v>
      </c>
      <c r="E16" s="20" t="s">
        <v>20</v>
      </c>
      <c r="F16" s="20">
        <v>1.75</v>
      </c>
      <c r="G16" s="21">
        <v>3.3858199999999998</v>
      </c>
      <c r="H16" s="21">
        <f t="shared" si="3"/>
        <v>1.6929099999999999E-2</v>
      </c>
      <c r="I16" s="21">
        <v>0</v>
      </c>
      <c r="J16" s="21">
        <v>0</v>
      </c>
      <c r="K16" s="21">
        <f t="shared" si="4"/>
        <v>0.28779470000000001</v>
      </c>
      <c r="L16" s="22">
        <v>0</v>
      </c>
      <c r="M16" s="21">
        <v>0</v>
      </c>
      <c r="N16" s="21">
        <f t="shared" si="0"/>
        <v>0.30472379999999999</v>
      </c>
      <c r="O16" s="21">
        <f t="shared" si="1"/>
        <v>0</v>
      </c>
      <c r="P16" s="21">
        <f t="shared" si="2"/>
        <v>0.30472379999999999</v>
      </c>
      <c r="Q16" s="76" t="s">
        <v>19</v>
      </c>
      <c r="R16" s="18" t="s">
        <v>447</v>
      </c>
      <c r="S16" s="10" t="s">
        <v>344</v>
      </c>
      <c r="T16" s="10"/>
      <c r="U16" s="10"/>
      <c r="V16" s="10"/>
      <c r="W16" s="10"/>
      <c r="X16" s="10"/>
      <c r="Y16" s="10"/>
      <c r="Z16" s="10"/>
      <c r="AA16" s="10"/>
      <c r="AB16" s="10"/>
      <c r="AC16" s="10"/>
    </row>
    <row r="17" spans="1:29" s="3" customFormat="1" ht="317.10000000000002" customHeight="1" thickTop="1" thickBot="1" x14ac:dyDescent="0.8">
      <c r="A17" s="20">
        <v>6</v>
      </c>
      <c r="B17" s="166" t="s">
        <v>518</v>
      </c>
      <c r="C17" s="154" t="s">
        <v>515</v>
      </c>
      <c r="D17" s="185">
        <v>151890357</v>
      </c>
      <c r="E17" s="20" t="s">
        <v>20</v>
      </c>
      <c r="F17" s="20">
        <v>1.75</v>
      </c>
      <c r="G17" s="21">
        <f>7184889.4/1000000</f>
        <v>7.1848894000000003</v>
      </c>
      <c r="H17" s="21">
        <f t="shared" si="3"/>
        <v>3.5924447000000005E-2</v>
      </c>
      <c r="I17" s="21">
        <v>0</v>
      </c>
      <c r="J17" s="21">
        <v>0</v>
      </c>
      <c r="K17" s="21">
        <f t="shared" si="4"/>
        <v>0.61071559900000005</v>
      </c>
      <c r="L17" s="22">
        <v>0</v>
      </c>
      <c r="M17" s="21">
        <v>0</v>
      </c>
      <c r="N17" s="21">
        <f t="shared" si="0"/>
        <v>0.64664004600000002</v>
      </c>
      <c r="O17" s="21">
        <f t="shared" si="1"/>
        <v>0</v>
      </c>
      <c r="P17" s="21">
        <f t="shared" si="2"/>
        <v>0.64664004600000002</v>
      </c>
      <c r="Q17" s="105" t="s">
        <v>30</v>
      </c>
      <c r="R17" s="24" t="s">
        <v>31</v>
      </c>
      <c r="S17" s="15" t="s">
        <v>344</v>
      </c>
      <c r="T17" s="15"/>
      <c r="U17" s="15"/>
      <c r="V17" s="15"/>
      <c r="W17" s="15"/>
      <c r="X17" s="15"/>
      <c r="Y17" s="15"/>
      <c r="Z17" s="15"/>
      <c r="AA17" s="15"/>
      <c r="AB17" s="15"/>
      <c r="AC17" s="15"/>
    </row>
    <row r="18" spans="1:29" ht="317.10000000000002" customHeight="1" thickBot="1" x14ac:dyDescent="0.8">
      <c r="A18" s="394">
        <v>7</v>
      </c>
      <c r="B18" s="412" t="s">
        <v>519</v>
      </c>
      <c r="C18" s="414" t="s">
        <v>511</v>
      </c>
      <c r="D18" s="416">
        <v>170149022800</v>
      </c>
      <c r="E18" s="20" t="s">
        <v>18</v>
      </c>
      <c r="F18" s="20">
        <v>2.5</v>
      </c>
      <c r="G18" s="23">
        <v>9.3510980000000004</v>
      </c>
      <c r="H18" s="23">
        <f>+G18*0.005</f>
        <v>4.6755490000000004E-2</v>
      </c>
      <c r="I18" s="23">
        <v>0</v>
      </c>
      <c r="J18" s="23">
        <f>(3+3+3+1)*1000/1000000</f>
        <v>0.01</v>
      </c>
      <c r="K18" s="23">
        <f>+G18*(8.5/100)</f>
        <v>0.79484333000000007</v>
      </c>
      <c r="L18" s="45">
        <v>0</v>
      </c>
      <c r="M18" s="23">
        <f>(60+57+38+25)*1000/1000000</f>
        <v>0.18</v>
      </c>
      <c r="N18" s="23">
        <f t="shared" si="0"/>
        <v>0.84159882000000008</v>
      </c>
      <c r="O18" s="23">
        <f t="shared" si="1"/>
        <v>0.19</v>
      </c>
      <c r="P18" s="23">
        <f t="shared" si="2"/>
        <v>0.65159882000000002</v>
      </c>
      <c r="Q18" s="109" t="s">
        <v>284</v>
      </c>
      <c r="R18" s="9" t="s">
        <v>298</v>
      </c>
      <c r="S18" s="10" t="s">
        <v>282</v>
      </c>
      <c r="T18" s="10" t="s">
        <v>283</v>
      </c>
    </row>
    <row r="19" spans="1:29" ht="219.95" customHeight="1" thickBot="1" x14ac:dyDescent="0.8">
      <c r="A19" s="396"/>
      <c r="B19" s="413"/>
      <c r="C19" s="415"/>
      <c r="D19" s="417"/>
      <c r="E19" s="20" t="s">
        <v>20</v>
      </c>
      <c r="F19" s="20">
        <v>1</v>
      </c>
      <c r="G19" s="21">
        <v>10.156370000000001</v>
      </c>
      <c r="H19" s="21">
        <f>+G19*0.005</f>
        <v>5.0781850000000003E-2</v>
      </c>
      <c r="I19" s="21">
        <v>0</v>
      </c>
      <c r="J19" s="21">
        <v>5.0999999999999997E-2</v>
      </c>
      <c r="K19" s="21">
        <f>+G19*(8.5/100)</f>
        <v>0.86329145000000018</v>
      </c>
      <c r="L19" s="22">
        <v>0</v>
      </c>
      <c r="M19" s="21">
        <v>0.86399999999999999</v>
      </c>
      <c r="N19" s="21">
        <f t="shared" si="0"/>
        <v>0.9140733000000002</v>
      </c>
      <c r="O19" s="21">
        <f t="shared" si="1"/>
        <v>0.91500000000000004</v>
      </c>
      <c r="P19" s="21">
        <f t="shared" si="2"/>
        <v>-9.2669999999983599E-4</v>
      </c>
      <c r="Q19" s="109" t="s">
        <v>284</v>
      </c>
      <c r="R19" s="9" t="s">
        <v>364</v>
      </c>
      <c r="S19" s="10" t="s">
        <v>282</v>
      </c>
      <c r="T19" s="10" t="s">
        <v>310</v>
      </c>
    </row>
    <row r="20" spans="1:29" ht="366.95" customHeight="1" thickBot="1" x14ac:dyDescent="0.8">
      <c r="A20" s="20">
        <v>8</v>
      </c>
      <c r="B20" s="177" t="s">
        <v>520</v>
      </c>
      <c r="C20" s="177" t="s">
        <v>511</v>
      </c>
      <c r="D20" s="178">
        <v>255619050520</v>
      </c>
      <c r="E20" s="179" t="s">
        <v>20</v>
      </c>
      <c r="F20" s="179">
        <v>1.3</v>
      </c>
      <c r="G20" s="180">
        <v>0.90138399999999996</v>
      </c>
      <c r="H20" s="180">
        <f>+G20*0.005</f>
        <v>4.5069200000000002E-3</v>
      </c>
      <c r="I20" s="180">
        <v>0</v>
      </c>
      <c r="J20" s="180">
        <f>((4)*1000)/1000000</f>
        <v>4.0000000000000001E-3</v>
      </c>
      <c r="K20" s="180">
        <f>+G20*(8.5/100)</f>
        <v>7.6617640000000001E-2</v>
      </c>
      <c r="L20" s="181">
        <v>0</v>
      </c>
      <c r="M20" s="180">
        <f>((69)*1000)/1000000</f>
        <v>6.9000000000000006E-2</v>
      </c>
      <c r="N20" s="180">
        <f t="shared" si="0"/>
        <v>8.1124559999999998E-2</v>
      </c>
      <c r="O20" s="180">
        <f t="shared" si="1"/>
        <v>7.3000000000000009E-2</v>
      </c>
      <c r="P20" s="180">
        <f t="shared" si="2"/>
        <v>8.124559999999989E-3</v>
      </c>
      <c r="Q20" s="182" t="s">
        <v>284</v>
      </c>
      <c r="R20" s="9" t="s">
        <v>397</v>
      </c>
      <c r="S20" s="10" t="s">
        <v>282</v>
      </c>
      <c r="T20" s="10" t="s">
        <v>283</v>
      </c>
    </row>
    <row r="21" spans="1:29" ht="317.10000000000002" customHeight="1" thickBot="1" x14ac:dyDescent="0.8">
      <c r="A21" s="394">
        <v>9</v>
      </c>
      <c r="B21" s="406" t="s">
        <v>521</v>
      </c>
      <c r="C21" s="394" t="s">
        <v>511</v>
      </c>
      <c r="D21" s="409">
        <v>184819020021</v>
      </c>
      <c r="E21" s="20" t="s">
        <v>18</v>
      </c>
      <c r="F21" s="20">
        <v>10</v>
      </c>
      <c r="G21" s="23">
        <v>30.939889999999998</v>
      </c>
      <c r="H21" s="23">
        <f>+G21*0.005</f>
        <v>0.15469944999999999</v>
      </c>
      <c r="I21" s="23">
        <v>0</v>
      </c>
      <c r="J21" s="23">
        <f>(65+83)/1000</f>
        <v>0.14799999999999999</v>
      </c>
      <c r="K21" s="23">
        <f>+G21*(8.5/100)</f>
        <v>2.6298906500000001</v>
      </c>
      <c r="L21" s="45">
        <v>0</v>
      </c>
      <c r="M21" s="23">
        <f>(1093+1416)/1000</f>
        <v>2.5089999999999999</v>
      </c>
      <c r="N21" s="23">
        <f>+H21+K21</f>
        <v>2.7845901</v>
      </c>
      <c r="O21" s="23">
        <f>+((I21+J21)+(L21+M21))</f>
        <v>2.657</v>
      </c>
      <c r="P21" s="23">
        <f>+N21-O21</f>
        <v>0.12759009999999993</v>
      </c>
      <c r="Q21" s="109" t="s">
        <v>307</v>
      </c>
      <c r="R21" s="26" t="s">
        <v>308</v>
      </c>
      <c r="S21" s="10" t="s">
        <v>282</v>
      </c>
      <c r="T21" s="10" t="s">
        <v>283</v>
      </c>
    </row>
    <row r="22" spans="1:29" ht="317.10000000000002" customHeight="1" thickBot="1" x14ac:dyDescent="0.8">
      <c r="A22" s="395"/>
      <c r="B22" s="407"/>
      <c r="C22" s="395"/>
      <c r="D22" s="410"/>
      <c r="E22" s="20" t="s">
        <v>20</v>
      </c>
      <c r="F22" s="20">
        <v>11</v>
      </c>
      <c r="G22" s="21">
        <v>87.584294999999997</v>
      </c>
      <c r="H22" s="21">
        <f>+G22*0.005</f>
        <v>0.437921475</v>
      </c>
      <c r="I22" s="21">
        <v>0</v>
      </c>
      <c r="J22" s="21">
        <v>0.504</v>
      </c>
      <c r="K22" s="21">
        <f>+G22*(8.5/100)</f>
        <v>7.4446650750000005</v>
      </c>
      <c r="L22" s="22">
        <v>0</v>
      </c>
      <c r="M22" s="21">
        <v>8.5690000000000008</v>
      </c>
      <c r="N22" s="21">
        <f>+H22+K22</f>
        <v>7.882586550000001</v>
      </c>
      <c r="O22" s="21">
        <f>+((I22+J22)+(L22+M22))</f>
        <v>9.0730000000000004</v>
      </c>
      <c r="P22" s="21">
        <f>+N22-O22</f>
        <v>-1.1904134499999994</v>
      </c>
      <c r="Q22" s="109" t="s">
        <v>284</v>
      </c>
      <c r="R22" s="26" t="s">
        <v>360</v>
      </c>
      <c r="S22" s="10" t="s">
        <v>282</v>
      </c>
      <c r="T22" s="10" t="s">
        <v>310</v>
      </c>
    </row>
    <row r="23" spans="1:29" ht="317.10000000000002" customHeight="1" thickBot="1" x14ac:dyDescent="0.8">
      <c r="A23" s="395"/>
      <c r="B23" s="407"/>
      <c r="C23" s="395"/>
      <c r="D23" s="410"/>
      <c r="E23" s="20" t="s">
        <v>21</v>
      </c>
      <c r="F23" s="20">
        <v>12</v>
      </c>
      <c r="G23" s="23">
        <v>79.052387999999993</v>
      </c>
      <c r="H23" s="23">
        <f>+G23*0.01</f>
        <v>0.79052387999999996</v>
      </c>
      <c r="I23" s="23">
        <v>0</v>
      </c>
      <c r="J23" s="23">
        <f>((386+378)*1000)/1000000</f>
        <v>0.76400000000000001</v>
      </c>
      <c r="K23" s="23">
        <f>+G23*(10/100)</f>
        <v>7.9052387999999993</v>
      </c>
      <c r="L23" s="45">
        <v>0</v>
      </c>
      <c r="M23" s="23">
        <f>((3845+3755)*1000)/1000000</f>
        <v>7.6</v>
      </c>
      <c r="N23" s="23">
        <f>+H23+K23</f>
        <v>8.6957626799999996</v>
      </c>
      <c r="O23" s="23">
        <f>+((I23+J23)+(L23+M23))</f>
        <v>8.363999999999999</v>
      </c>
      <c r="P23" s="23">
        <f>+N23-O23</f>
        <v>0.33176268000000064</v>
      </c>
      <c r="Q23" s="109" t="s">
        <v>284</v>
      </c>
      <c r="R23" s="26" t="s">
        <v>464</v>
      </c>
      <c r="S23" s="10" t="s">
        <v>282</v>
      </c>
      <c r="T23" s="10" t="s">
        <v>283</v>
      </c>
    </row>
    <row r="24" spans="1:29" ht="237" customHeight="1" thickBot="1" x14ac:dyDescent="0.8">
      <c r="A24" s="395"/>
      <c r="B24" s="407"/>
      <c r="C24" s="395"/>
      <c r="D24" s="410"/>
      <c r="E24" s="58" t="s">
        <v>22</v>
      </c>
      <c r="F24" s="58">
        <v>8.5</v>
      </c>
      <c r="G24" s="60">
        <f>(33778790)/1000000</f>
        <v>33.778790000000001</v>
      </c>
      <c r="H24" s="60">
        <f>+G24*0.02</f>
        <v>0.67557580000000006</v>
      </c>
      <c r="I24" s="60">
        <v>0</v>
      </c>
      <c r="J24" s="60">
        <v>0</v>
      </c>
      <c r="K24" s="60">
        <f>+G24*(10.5/100)</f>
        <v>3.5467729499999998</v>
      </c>
      <c r="L24" s="61">
        <v>0</v>
      </c>
      <c r="M24" s="60">
        <v>0</v>
      </c>
      <c r="N24" s="60">
        <f>+H24+K24</f>
        <v>4.2223487500000001</v>
      </c>
      <c r="O24" s="60">
        <f>I24+J24+L24+M24</f>
        <v>0</v>
      </c>
      <c r="P24" s="60">
        <f>+N24-O24</f>
        <v>4.2223487500000001</v>
      </c>
      <c r="Q24" s="110" t="s">
        <v>284</v>
      </c>
      <c r="R24" s="29" t="s">
        <v>58</v>
      </c>
      <c r="S24" s="7" t="s">
        <v>282</v>
      </c>
      <c r="T24" s="7" t="s">
        <v>283</v>
      </c>
      <c r="U24" s="7"/>
      <c r="V24" s="7"/>
      <c r="W24" s="7"/>
      <c r="X24" s="7"/>
      <c r="Y24" s="7"/>
      <c r="Z24" s="7"/>
      <c r="AA24" s="7"/>
      <c r="AB24" s="7"/>
      <c r="AC24" s="7"/>
    </row>
    <row r="25" spans="1:29" ht="317.10000000000002" customHeight="1" thickBot="1" x14ac:dyDescent="0.8">
      <c r="A25" s="395"/>
      <c r="B25" s="407"/>
      <c r="C25" s="395"/>
      <c r="D25" s="410"/>
      <c r="E25" s="47" t="s">
        <v>24</v>
      </c>
      <c r="F25" s="47">
        <v>10</v>
      </c>
      <c r="G25" s="143">
        <v>8.1815999999999995</v>
      </c>
      <c r="H25" s="50">
        <f>+G25*(2.75/100)</f>
        <v>0.224994</v>
      </c>
      <c r="I25" s="50">
        <v>0</v>
      </c>
      <c r="J25" s="148">
        <f>((200+32)*1000)/1000000</f>
        <v>0.23200000000000001</v>
      </c>
      <c r="K25" s="50">
        <f>+G25*(11/100)</f>
        <v>0.899976</v>
      </c>
      <c r="L25" s="51">
        <v>0</v>
      </c>
      <c r="M25" s="50">
        <f>((900+20)*1000)/1000000</f>
        <v>0.92</v>
      </c>
      <c r="N25" s="50">
        <f>+H25+K25</f>
        <v>1.12497</v>
      </c>
      <c r="O25" s="50">
        <f>I25+J25+L25+M25</f>
        <v>1.1520000000000001</v>
      </c>
      <c r="P25" s="50">
        <f>+N25-O25</f>
        <v>-2.7030000000000109E-2</v>
      </c>
      <c r="Q25" s="111" t="s">
        <v>494</v>
      </c>
      <c r="R25" s="28" t="s">
        <v>57</v>
      </c>
      <c r="S25" s="7" t="s">
        <v>282</v>
      </c>
      <c r="T25" s="7" t="s">
        <v>310</v>
      </c>
      <c r="U25" s="7"/>
      <c r="V25" s="7"/>
      <c r="W25" s="7"/>
      <c r="X25" s="7"/>
      <c r="Y25" s="7"/>
      <c r="Z25" s="7"/>
      <c r="AA25" s="7"/>
      <c r="AB25" s="7"/>
      <c r="AC25" s="7"/>
    </row>
    <row r="26" spans="1:29" ht="378.95" customHeight="1" thickBot="1" x14ac:dyDescent="0.8">
      <c r="A26" s="396"/>
      <c r="B26" s="408"/>
      <c r="C26" s="396"/>
      <c r="D26" s="411"/>
      <c r="E26" s="53" t="s">
        <v>27</v>
      </c>
      <c r="F26" s="140">
        <v>25</v>
      </c>
      <c r="G26" s="140">
        <v>51.961103999999999</v>
      </c>
      <c r="H26" s="141">
        <f>+G26*(3.5/100)</f>
        <v>1.8186386400000001</v>
      </c>
      <c r="I26" s="141">
        <v>0</v>
      </c>
      <c r="J26" s="141">
        <f>((48+80)*1000)/1000000</f>
        <v>0.128</v>
      </c>
      <c r="K26" s="141">
        <f>+G26*(11.5/100)</f>
        <v>5.9755269599999998</v>
      </c>
      <c r="L26" s="142">
        <v>0</v>
      </c>
      <c r="M26" s="141">
        <f>((2160)*1000)/1000000</f>
        <v>2.16</v>
      </c>
      <c r="N26" s="141">
        <f t="shared" si="0"/>
        <v>7.7941655999999995</v>
      </c>
      <c r="O26" s="141">
        <f>I26+J26+L26+M26</f>
        <v>2.2880000000000003</v>
      </c>
      <c r="P26" s="141">
        <f t="shared" si="2"/>
        <v>5.5061655999999992</v>
      </c>
      <c r="Q26" s="112" t="s">
        <v>497</v>
      </c>
      <c r="R26" s="13" t="s">
        <v>32</v>
      </c>
      <c r="S26" s="7" t="s">
        <v>282</v>
      </c>
      <c r="T26" s="7" t="s">
        <v>283</v>
      </c>
      <c r="U26" s="7"/>
      <c r="V26" s="7"/>
      <c r="W26" s="7"/>
      <c r="X26" s="7"/>
      <c r="Y26" s="7"/>
      <c r="Z26" s="7"/>
      <c r="AA26" s="7"/>
      <c r="AB26" s="7"/>
      <c r="AC26" s="7"/>
    </row>
    <row r="27" spans="1:29" ht="317.10000000000002" customHeight="1" thickBot="1" x14ac:dyDescent="0.8">
      <c r="A27" s="394">
        <v>10</v>
      </c>
      <c r="B27" s="394" t="s">
        <v>522</v>
      </c>
      <c r="C27" s="394" t="s">
        <v>511</v>
      </c>
      <c r="D27" s="409">
        <v>251019402391</v>
      </c>
      <c r="E27" s="20" t="s">
        <v>18</v>
      </c>
      <c r="F27" s="20">
        <v>3.5</v>
      </c>
      <c r="G27" s="44">
        <v>16.643832</v>
      </c>
      <c r="H27" s="23">
        <f t="shared" ref="H27:H42" si="5">+G27*0.005</f>
        <v>8.321916E-2</v>
      </c>
      <c r="I27" s="23">
        <v>0</v>
      </c>
      <c r="J27" s="23">
        <f>(49+12+14)*1000/1000000</f>
        <v>7.4999999999999997E-2</v>
      </c>
      <c r="K27" s="23">
        <f t="shared" ref="K27:K42" si="6">+G27*(8.5/100)</f>
        <v>1.4147257200000001</v>
      </c>
      <c r="L27" s="45">
        <v>0</v>
      </c>
      <c r="M27" s="23">
        <f>(847+200+220)*1000/1000000</f>
        <v>1.2669999999999999</v>
      </c>
      <c r="N27" s="23">
        <f t="shared" si="0"/>
        <v>1.4979448800000001</v>
      </c>
      <c r="O27" s="23">
        <f t="shared" ref="O27:O44" si="7">+((I27+J27)+(L27+M27))</f>
        <v>1.3419999999999999</v>
      </c>
      <c r="P27" s="23">
        <f t="shared" si="2"/>
        <v>0.15594488000000029</v>
      </c>
      <c r="Q27" s="109" t="s">
        <v>277</v>
      </c>
      <c r="R27" s="9" t="s">
        <v>296</v>
      </c>
      <c r="S27" s="10" t="s">
        <v>282</v>
      </c>
      <c r="T27" s="10" t="s">
        <v>283</v>
      </c>
    </row>
    <row r="28" spans="1:29" ht="317.10000000000002" customHeight="1" thickBot="1" x14ac:dyDescent="0.8">
      <c r="A28" s="396"/>
      <c r="B28" s="396"/>
      <c r="C28" s="396"/>
      <c r="D28" s="411"/>
      <c r="E28" s="20" t="s">
        <v>20</v>
      </c>
      <c r="F28" s="20">
        <v>3.4</v>
      </c>
      <c r="G28" s="21">
        <v>33.778351999999998</v>
      </c>
      <c r="H28" s="21">
        <f t="shared" si="5"/>
        <v>0.16889176</v>
      </c>
      <c r="I28" s="21">
        <v>0</v>
      </c>
      <c r="J28" s="21">
        <f>(18+14+108+30)*1000/1000000</f>
        <v>0.17</v>
      </c>
      <c r="K28" s="21">
        <f t="shared" si="6"/>
        <v>2.8711599200000002</v>
      </c>
      <c r="L28" s="22">
        <v>0</v>
      </c>
      <c r="M28" s="21">
        <f>(300+220+1852+500)*1000/1000000</f>
        <v>2.8719999999999999</v>
      </c>
      <c r="N28" s="21">
        <f t="shared" si="0"/>
        <v>3.0400516800000004</v>
      </c>
      <c r="O28" s="21">
        <f t="shared" si="7"/>
        <v>3.0419999999999998</v>
      </c>
      <c r="P28" s="21">
        <f t="shared" si="2"/>
        <v>-1.9483199999994483E-3</v>
      </c>
      <c r="Q28" s="109" t="s">
        <v>284</v>
      </c>
      <c r="R28" s="9" t="s">
        <v>413</v>
      </c>
      <c r="S28" s="10" t="s">
        <v>282</v>
      </c>
      <c r="T28" s="10" t="s">
        <v>310</v>
      </c>
    </row>
    <row r="29" spans="1:29" ht="317.10000000000002" customHeight="1" thickBot="1" x14ac:dyDescent="0.8">
      <c r="A29" s="394">
        <v>11</v>
      </c>
      <c r="B29" s="414" t="s">
        <v>524</v>
      </c>
      <c r="C29" s="414" t="s">
        <v>511</v>
      </c>
      <c r="D29" s="416">
        <v>28619019069</v>
      </c>
      <c r="E29" s="20" t="s">
        <v>18</v>
      </c>
      <c r="F29" s="20">
        <v>3</v>
      </c>
      <c r="G29" s="23">
        <v>16.096392000000002</v>
      </c>
      <c r="H29" s="23">
        <f t="shared" si="5"/>
        <v>8.0481960000000005E-2</v>
      </c>
      <c r="I29" s="23">
        <v>0</v>
      </c>
      <c r="J29" s="23">
        <f>((61+14)*1000/1000000)</f>
        <v>7.4999999999999997E-2</v>
      </c>
      <c r="K29" s="23">
        <f t="shared" si="6"/>
        <v>1.3681933200000003</v>
      </c>
      <c r="L29" s="45">
        <v>0</v>
      </c>
      <c r="M29" s="23">
        <f>((1043+216)*1000/1000000)</f>
        <v>1.2589999999999999</v>
      </c>
      <c r="N29" s="23">
        <f t="shared" si="0"/>
        <v>1.4486752800000002</v>
      </c>
      <c r="O29" s="23">
        <f t="shared" si="7"/>
        <v>1.3339999999999999</v>
      </c>
      <c r="P29" s="23">
        <f t="shared" si="2"/>
        <v>0.11467528000000038</v>
      </c>
      <c r="Q29" s="109" t="s">
        <v>284</v>
      </c>
      <c r="R29" s="9" t="s">
        <v>342</v>
      </c>
      <c r="S29" s="10" t="s">
        <v>282</v>
      </c>
      <c r="T29" s="10" t="s">
        <v>283</v>
      </c>
    </row>
    <row r="30" spans="1:29" ht="317.10000000000002" customHeight="1" thickBot="1" x14ac:dyDescent="0.8">
      <c r="A30" s="396"/>
      <c r="B30" s="415"/>
      <c r="C30" s="415"/>
      <c r="D30" s="417"/>
      <c r="E30" s="20" t="s">
        <v>20</v>
      </c>
      <c r="F30" s="20">
        <v>3</v>
      </c>
      <c r="G30" s="21">
        <v>16.670323</v>
      </c>
      <c r="H30" s="21">
        <f t="shared" si="5"/>
        <v>8.3351615000000004E-2</v>
      </c>
      <c r="I30" s="21">
        <v>0</v>
      </c>
      <c r="J30" s="21">
        <v>8.4000000000000005E-2</v>
      </c>
      <c r="K30" s="21">
        <f t="shared" si="6"/>
        <v>1.4169774550000001</v>
      </c>
      <c r="L30" s="22">
        <v>0</v>
      </c>
      <c r="M30" s="21">
        <v>1.41</v>
      </c>
      <c r="N30" s="21">
        <f t="shared" si="0"/>
        <v>1.50032907</v>
      </c>
      <c r="O30" s="21">
        <f t="shared" si="7"/>
        <v>1.494</v>
      </c>
      <c r="P30" s="21">
        <f t="shared" si="2"/>
        <v>6.3290700000000477E-3</v>
      </c>
      <c r="Q30" s="109" t="s">
        <v>307</v>
      </c>
      <c r="R30" s="9" t="s">
        <v>356</v>
      </c>
      <c r="S30" s="10" t="s">
        <v>282</v>
      </c>
      <c r="T30" s="10" t="s">
        <v>283</v>
      </c>
    </row>
    <row r="31" spans="1:29" ht="317.10000000000002" customHeight="1" thickBot="1" x14ac:dyDescent="0.8">
      <c r="A31" s="394">
        <v>12</v>
      </c>
      <c r="B31" s="414" t="s">
        <v>523</v>
      </c>
      <c r="C31" s="394" t="s">
        <v>511</v>
      </c>
      <c r="D31" s="409">
        <v>31699025120</v>
      </c>
      <c r="E31" s="20" t="s">
        <v>18</v>
      </c>
      <c r="F31" s="20">
        <v>3</v>
      </c>
      <c r="G31" s="44">
        <v>24.735600000000002</v>
      </c>
      <c r="H31" s="23">
        <f t="shared" si="5"/>
        <v>0.12367800000000001</v>
      </c>
      <c r="I31" s="23">
        <v>0</v>
      </c>
      <c r="J31" s="23">
        <f>(20+11+10+15+11+11+14+10+16)/1000</f>
        <v>0.11799999999999999</v>
      </c>
      <c r="K31" s="23">
        <f t="shared" si="6"/>
        <v>2.1025260000000001</v>
      </c>
      <c r="L31" s="45">
        <v>0</v>
      </c>
      <c r="M31" s="23">
        <f>(354+189+170+249+182+186+250+170+253)/1000</f>
        <v>2.0030000000000001</v>
      </c>
      <c r="N31" s="23">
        <f t="shared" si="0"/>
        <v>2.2262040000000001</v>
      </c>
      <c r="O31" s="23">
        <f t="shared" si="7"/>
        <v>2.121</v>
      </c>
      <c r="P31" s="23">
        <f t="shared" si="2"/>
        <v>0.10520400000000008</v>
      </c>
      <c r="Q31" s="109" t="s">
        <v>284</v>
      </c>
      <c r="R31" s="9" t="s">
        <v>336</v>
      </c>
      <c r="S31" s="10" t="s">
        <v>282</v>
      </c>
      <c r="T31" s="10" t="s">
        <v>283</v>
      </c>
    </row>
    <row r="32" spans="1:29" ht="317.10000000000002" customHeight="1" thickBot="1" x14ac:dyDescent="0.8">
      <c r="A32" s="396"/>
      <c r="B32" s="415"/>
      <c r="C32" s="396"/>
      <c r="D32" s="411"/>
      <c r="E32" s="20" t="s">
        <v>20</v>
      </c>
      <c r="F32" s="20">
        <v>4</v>
      </c>
      <c r="G32" s="21">
        <v>36.522095</v>
      </c>
      <c r="H32" s="21">
        <f t="shared" si="5"/>
        <v>0.18261047499999999</v>
      </c>
      <c r="I32" s="21">
        <v>0</v>
      </c>
      <c r="J32" s="21">
        <f>(((99+10)*1000)/1000000)</f>
        <v>0.109</v>
      </c>
      <c r="K32" s="21">
        <f t="shared" si="6"/>
        <v>3.1043780750000001</v>
      </c>
      <c r="L32" s="22">
        <v>0</v>
      </c>
      <c r="M32" s="21">
        <f>(((2690+259+156)*1000)/1000000)</f>
        <v>3.105</v>
      </c>
      <c r="N32" s="21">
        <f t="shared" si="0"/>
        <v>3.2869885500000002</v>
      </c>
      <c r="O32" s="21">
        <f t="shared" si="7"/>
        <v>3.214</v>
      </c>
      <c r="P32" s="21">
        <f t="shared" si="2"/>
        <v>7.2988550000000263E-2</v>
      </c>
      <c r="Q32" s="109" t="s">
        <v>385</v>
      </c>
      <c r="R32" s="9" t="s">
        <v>356</v>
      </c>
      <c r="S32" s="10" t="s">
        <v>282</v>
      </c>
      <c r="T32" s="10" t="s">
        <v>283</v>
      </c>
    </row>
    <row r="33" spans="1:29" ht="317.10000000000002" customHeight="1" thickBot="1" x14ac:dyDescent="0.8">
      <c r="A33" s="20">
        <v>13</v>
      </c>
      <c r="B33" s="19" t="s">
        <v>525</v>
      </c>
      <c r="C33" s="20" t="s">
        <v>511</v>
      </c>
      <c r="D33" s="153">
        <v>203759022000</v>
      </c>
      <c r="E33" s="20" t="s">
        <v>20</v>
      </c>
      <c r="F33" s="20">
        <v>1</v>
      </c>
      <c r="G33" s="21">
        <v>0.82360800000000001</v>
      </c>
      <c r="H33" s="21">
        <f t="shared" si="5"/>
        <v>4.1180399999999999E-3</v>
      </c>
      <c r="I33" s="21">
        <v>0</v>
      </c>
      <c r="J33" s="21">
        <v>0</v>
      </c>
      <c r="K33" s="21">
        <f t="shared" si="6"/>
        <v>7.0006680000000002E-2</v>
      </c>
      <c r="L33" s="22">
        <v>0</v>
      </c>
      <c r="M33" s="21">
        <v>0</v>
      </c>
      <c r="N33" s="21">
        <f t="shared" si="0"/>
        <v>7.4124720000000005E-2</v>
      </c>
      <c r="O33" s="21">
        <f t="shared" si="7"/>
        <v>0</v>
      </c>
      <c r="P33" s="21">
        <f t="shared" si="2"/>
        <v>7.4124720000000005E-2</v>
      </c>
      <c r="Q33" s="109" t="s">
        <v>19</v>
      </c>
      <c r="R33" s="9" t="s">
        <v>449</v>
      </c>
      <c r="S33" s="10" t="s">
        <v>344</v>
      </c>
    </row>
    <row r="34" spans="1:29" ht="317.10000000000002" customHeight="1" thickBot="1" x14ac:dyDescent="0.8">
      <c r="A34" s="20">
        <v>14</v>
      </c>
      <c r="B34" s="19" t="s">
        <v>526</v>
      </c>
      <c r="C34" s="20" t="s">
        <v>511</v>
      </c>
      <c r="D34" s="153">
        <v>193019023880</v>
      </c>
      <c r="E34" s="20" t="s">
        <v>20</v>
      </c>
      <c r="F34" s="20">
        <v>5</v>
      </c>
      <c r="G34" s="21">
        <v>4.7178100000000001</v>
      </c>
      <c r="H34" s="21">
        <f t="shared" si="5"/>
        <v>2.358905E-2</v>
      </c>
      <c r="I34" s="21">
        <v>0</v>
      </c>
      <c r="J34" s="21">
        <f>(((20)*1000)/1000000)</f>
        <v>0.02</v>
      </c>
      <c r="K34" s="21">
        <f t="shared" si="6"/>
        <v>0.40101385000000006</v>
      </c>
      <c r="L34" s="22">
        <v>0</v>
      </c>
      <c r="M34" s="21">
        <f>(((345)*1000)/1000000)</f>
        <v>0.34499999999999997</v>
      </c>
      <c r="N34" s="21">
        <f t="shared" si="0"/>
        <v>0.42460290000000006</v>
      </c>
      <c r="O34" s="21">
        <f t="shared" si="7"/>
        <v>0.36499999999999999</v>
      </c>
      <c r="P34" s="21">
        <f t="shared" si="2"/>
        <v>5.960290000000007E-2</v>
      </c>
      <c r="Q34" s="109" t="s">
        <v>292</v>
      </c>
      <c r="R34" s="9" t="s">
        <v>381</v>
      </c>
      <c r="S34" s="10" t="s">
        <v>282</v>
      </c>
      <c r="T34" s="10" t="s">
        <v>283</v>
      </c>
    </row>
    <row r="35" spans="1:29" ht="317.10000000000002" customHeight="1" thickBot="1" x14ac:dyDescent="0.8">
      <c r="A35" s="394">
        <v>15</v>
      </c>
      <c r="B35" s="412" t="s">
        <v>527</v>
      </c>
      <c r="C35" s="394" t="s">
        <v>511</v>
      </c>
      <c r="D35" s="409">
        <v>170149001975</v>
      </c>
      <c r="E35" s="20" t="s">
        <v>18</v>
      </c>
      <c r="F35" s="20">
        <v>1.5</v>
      </c>
      <c r="G35" s="23">
        <v>2.1240000000000001</v>
      </c>
      <c r="H35" s="23">
        <f t="shared" si="5"/>
        <v>1.0620000000000001E-2</v>
      </c>
      <c r="I35" s="23">
        <v>0</v>
      </c>
      <c r="J35" s="23">
        <v>0</v>
      </c>
      <c r="K35" s="23">
        <f t="shared" si="6"/>
        <v>0.18054000000000003</v>
      </c>
      <c r="L35" s="45">
        <v>0</v>
      </c>
      <c r="M35" s="23">
        <v>0</v>
      </c>
      <c r="N35" s="23">
        <f t="shared" si="0"/>
        <v>0.19116000000000002</v>
      </c>
      <c r="O35" s="23">
        <f t="shared" si="7"/>
        <v>0</v>
      </c>
      <c r="P35" s="23">
        <f t="shared" si="2"/>
        <v>0.19116000000000002</v>
      </c>
      <c r="Q35" s="109" t="s">
        <v>19</v>
      </c>
      <c r="R35" s="9" t="s">
        <v>348</v>
      </c>
      <c r="S35" s="10" t="s">
        <v>344</v>
      </c>
    </row>
    <row r="36" spans="1:29" ht="317.10000000000002" customHeight="1" thickBot="1" x14ac:dyDescent="0.8">
      <c r="A36" s="396"/>
      <c r="B36" s="413"/>
      <c r="C36" s="396"/>
      <c r="D36" s="411"/>
      <c r="E36" s="20" t="s">
        <v>20</v>
      </c>
      <c r="F36" s="20">
        <v>2.2000000000000002</v>
      </c>
      <c r="G36" s="21">
        <v>14.128683000000001</v>
      </c>
      <c r="H36" s="21">
        <f t="shared" si="5"/>
        <v>7.0643415000000001E-2</v>
      </c>
      <c r="I36" s="21">
        <v>0</v>
      </c>
      <c r="J36" s="21">
        <v>0</v>
      </c>
      <c r="K36" s="21">
        <f t="shared" si="6"/>
        <v>1.2009380550000002</v>
      </c>
      <c r="L36" s="22">
        <v>0</v>
      </c>
      <c r="M36" s="21">
        <v>0</v>
      </c>
      <c r="N36" s="21">
        <f t="shared" si="0"/>
        <v>1.2715814700000001</v>
      </c>
      <c r="O36" s="21">
        <f t="shared" si="7"/>
        <v>0</v>
      </c>
      <c r="P36" s="21">
        <f t="shared" si="2"/>
        <v>1.2715814700000001</v>
      </c>
      <c r="Q36" s="109" t="s">
        <v>19</v>
      </c>
      <c r="R36" s="9" t="s">
        <v>450</v>
      </c>
      <c r="S36" s="10" t="s">
        <v>344</v>
      </c>
    </row>
    <row r="37" spans="1:29" ht="317.10000000000002" customHeight="1" thickBot="1" x14ac:dyDescent="0.8">
      <c r="A37" s="20">
        <v>16</v>
      </c>
      <c r="B37" s="19" t="s">
        <v>528</v>
      </c>
      <c r="C37" s="19" t="s">
        <v>511</v>
      </c>
      <c r="D37" s="176">
        <v>3029023380</v>
      </c>
      <c r="E37" s="20" t="s">
        <v>20</v>
      </c>
      <c r="F37" s="20">
        <v>3.2</v>
      </c>
      <c r="G37" s="21">
        <v>11.712</v>
      </c>
      <c r="H37" s="21">
        <f t="shared" si="5"/>
        <v>5.8560000000000001E-2</v>
      </c>
      <c r="I37" s="21">
        <v>0</v>
      </c>
      <c r="J37" s="21">
        <f>((55)*1000)/1000000</f>
        <v>5.5E-2</v>
      </c>
      <c r="K37" s="21">
        <f t="shared" si="6"/>
        <v>0.99552000000000007</v>
      </c>
      <c r="L37" s="22">
        <v>0</v>
      </c>
      <c r="M37" s="21">
        <f>((885)*1000)/1000000</f>
        <v>0.88500000000000001</v>
      </c>
      <c r="N37" s="21">
        <f t="shared" si="0"/>
        <v>1.0540800000000001</v>
      </c>
      <c r="O37" s="21">
        <f t="shared" si="7"/>
        <v>0.94000000000000006</v>
      </c>
      <c r="P37" s="21">
        <f t="shared" si="2"/>
        <v>0.11408000000000007</v>
      </c>
      <c r="Q37" s="109" t="s">
        <v>284</v>
      </c>
      <c r="R37" s="9" t="s">
        <v>398</v>
      </c>
      <c r="S37" s="10" t="s">
        <v>282</v>
      </c>
      <c r="T37" s="10" t="s">
        <v>283</v>
      </c>
    </row>
    <row r="38" spans="1:29" ht="317.10000000000002" customHeight="1" thickBot="1" x14ac:dyDescent="0.8">
      <c r="A38" s="394">
        <v>17</v>
      </c>
      <c r="B38" s="414" t="s">
        <v>529</v>
      </c>
      <c r="C38" s="414" t="s">
        <v>511</v>
      </c>
      <c r="D38" s="416">
        <v>79012378</v>
      </c>
      <c r="E38" s="20" t="s">
        <v>18</v>
      </c>
      <c r="F38" s="20">
        <v>3</v>
      </c>
      <c r="G38" s="23">
        <v>1.519962</v>
      </c>
      <c r="H38" s="23">
        <f>+G38*0.005</f>
        <v>7.5998100000000002E-3</v>
      </c>
      <c r="I38" s="45">
        <v>0</v>
      </c>
      <c r="J38" s="45">
        <f>(3*1000/10000000)</f>
        <v>2.9999999999999997E-4</v>
      </c>
      <c r="K38" s="23">
        <f>+G38*(8.5/100)</f>
        <v>0.12919677000000002</v>
      </c>
      <c r="L38" s="45">
        <v>0</v>
      </c>
      <c r="M38" s="23">
        <f>((51+412)*1000/10000000)</f>
        <v>4.6300000000000001E-2</v>
      </c>
      <c r="N38" s="23">
        <f>+H38+K38</f>
        <v>0.13679658000000003</v>
      </c>
      <c r="O38" s="23">
        <f>+((I38+J38)+(L38+M38))</f>
        <v>4.6600000000000003E-2</v>
      </c>
      <c r="P38" s="23">
        <f>+N38-O38</f>
        <v>9.0196580000000026E-2</v>
      </c>
      <c r="Q38" s="109" t="s">
        <v>284</v>
      </c>
      <c r="R38" s="9" t="s">
        <v>299</v>
      </c>
      <c r="S38" s="10" t="s">
        <v>282</v>
      </c>
      <c r="T38" s="10" t="s">
        <v>283</v>
      </c>
    </row>
    <row r="39" spans="1:29" ht="317.10000000000002" customHeight="1" thickBot="1" x14ac:dyDescent="0.8">
      <c r="A39" s="396"/>
      <c r="B39" s="415"/>
      <c r="C39" s="415"/>
      <c r="D39" s="417"/>
      <c r="E39" s="20" t="s">
        <v>20</v>
      </c>
      <c r="F39" s="20">
        <v>3</v>
      </c>
      <c r="G39" s="21">
        <v>10.092452</v>
      </c>
      <c r="H39" s="21">
        <f t="shared" si="5"/>
        <v>5.0462260000000002E-2</v>
      </c>
      <c r="I39" s="22">
        <v>0</v>
      </c>
      <c r="J39" s="21">
        <f>((25+5+12+5)*1000)/1000000</f>
        <v>4.7E-2</v>
      </c>
      <c r="K39" s="21">
        <f t="shared" si="6"/>
        <v>0.85785842000000001</v>
      </c>
      <c r="L39" s="22">
        <v>0</v>
      </c>
      <c r="M39" s="21">
        <v>0</v>
      </c>
      <c r="N39" s="21">
        <f t="shared" si="0"/>
        <v>0.90832067999999999</v>
      </c>
      <c r="O39" s="21">
        <f t="shared" si="7"/>
        <v>4.7E-2</v>
      </c>
      <c r="P39" s="21">
        <f t="shared" si="2"/>
        <v>0.86132067999999995</v>
      </c>
      <c r="Q39" s="109" t="s">
        <v>284</v>
      </c>
      <c r="R39" s="9" t="s">
        <v>365</v>
      </c>
      <c r="S39" s="10" t="s">
        <v>282</v>
      </c>
      <c r="T39" s="10" t="s">
        <v>283</v>
      </c>
    </row>
    <row r="40" spans="1:29" ht="317.10000000000002" customHeight="1" thickBot="1" x14ac:dyDescent="0.8">
      <c r="A40" s="20">
        <v>18</v>
      </c>
      <c r="B40" s="19" t="s">
        <v>530</v>
      </c>
      <c r="C40" s="19" t="s">
        <v>511</v>
      </c>
      <c r="D40" s="176">
        <v>490019004276</v>
      </c>
      <c r="E40" s="20" t="s">
        <v>20</v>
      </c>
      <c r="F40" s="20">
        <v>1</v>
      </c>
      <c r="G40" s="21">
        <v>0</v>
      </c>
      <c r="H40" s="21">
        <f t="shared" si="5"/>
        <v>0</v>
      </c>
      <c r="I40" s="21">
        <v>0</v>
      </c>
      <c r="J40" s="21">
        <v>0</v>
      </c>
      <c r="K40" s="21">
        <f t="shared" si="6"/>
        <v>0</v>
      </c>
      <c r="L40" s="22">
        <v>0</v>
      </c>
      <c r="M40" s="21">
        <v>0</v>
      </c>
      <c r="N40" s="21">
        <f t="shared" si="0"/>
        <v>0</v>
      </c>
      <c r="O40" s="21">
        <f t="shared" si="7"/>
        <v>0</v>
      </c>
      <c r="P40" s="21">
        <f t="shared" si="2"/>
        <v>0</v>
      </c>
      <c r="Q40" s="109" t="s">
        <v>19</v>
      </c>
      <c r="R40" s="9" t="s">
        <v>449</v>
      </c>
      <c r="S40" s="10" t="s">
        <v>344</v>
      </c>
      <c r="T40" s="10" t="s">
        <v>448</v>
      </c>
    </row>
    <row r="41" spans="1:29" ht="317.10000000000002" customHeight="1" thickBot="1" x14ac:dyDescent="0.8">
      <c r="A41" s="20">
        <v>19</v>
      </c>
      <c r="B41" s="414" t="s">
        <v>35</v>
      </c>
      <c r="C41" s="414" t="s">
        <v>511</v>
      </c>
      <c r="D41" s="416">
        <v>3019026750</v>
      </c>
      <c r="E41" s="20" t="s">
        <v>18</v>
      </c>
      <c r="F41" s="20">
        <v>2</v>
      </c>
      <c r="G41" s="23">
        <v>9.9085660000000004</v>
      </c>
      <c r="H41" s="23">
        <f>+G41*0.005</f>
        <v>4.9542830000000003E-2</v>
      </c>
      <c r="I41" s="23">
        <v>0</v>
      </c>
      <c r="J41" s="23">
        <v>0</v>
      </c>
      <c r="K41" s="23">
        <f>+G41*(8.5/100)</f>
        <v>0.84222811000000009</v>
      </c>
      <c r="L41" s="45">
        <v>0</v>
      </c>
      <c r="M41" s="23">
        <v>0</v>
      </c>
      <c r="N41" s="23">
        <f>+H41+K41</f>
        <v>0.89177094000000012</v>
      </c>
      <c r="O41" s="23">
        <f>+((I41+J41)+(L41+M41))</f>
        <v>0</v>
      </c>
      <c r="P41" s="23">
        <f>+N41-O41</f>
        <v>0.89177094000000012</v>
      </c>
      <c r="Q41" s="109" t="s">
        <v>19</v>
      </c>
      <c r="R41" s="9" t="s">
        <v>346</v>
      </c>
      <c r="S41" s="10" t="s">
        <v>344</v>
      </c>
    </row>
    <row r="42" spans="1:29" ht="317.10000000000002" customHeight="1" thickBot="1" x14ac:dyDescent="0.8">
      <c r="A42" s="20"/>
      <c r="B42" s="415"/>
      <c r="C42" s="415"/>
      <c r="D42" s="417"/>
      <c r="E42" s="20" t="s">
        <v>20</v>
      </c>
      <c r="F42" s="20">
        <v>2</v>
      </c>
      <c r="G42" s="21">
        <v>11.226395</v>
      </c>
      <c r="H42" s="21">
        <f t="shared" si="5"/>
        <v>5.6131975000000001E-2</v>
      </c>
      <c r="I42" s="21">
        <v>0</v>
      </c>
      <c r="J42" s="21">
        <v>0</v>
      </c>
      <c r="K42" s="21">
        <f t="shared" si="6"/>
        <v>0.95424357500000012</v>
      </c>
      <c r="L42" s="22">
        <v>0</v>
      </c>
      <c r="M42" s="21">
        <v>0</v>
      </c>
      <c r="N42" s="21">
        <f t="shared" si="0"/>
        <v>1.01037555</v>
      </c>
      <c r="O42" s="21">
        <f t="shared" si="7"/>
        <v>0</v>
      </c>
      <c r="P42" s="21">
        <f t="shared" si="2"/>
        <v>1.01037555</v>
      </c>
      <c r="Q42" s="109" t="s">
        <v>19</v>
      </c>
      <c r="R42" s="9" t="s">
        <v>447</v>
      </c>
      <c r="S42" s="10" t="s">
        <v>344</v>
      </c>
    </row>
    <row r="43" spans="1:29" ht="317.10000000000002" customHeight="1" thickBot="1" x14ac:dyDescent="0.8">
      <c r="A43" s="394">
        <v>20</v>
      </c>
      <c r="B43" s="414" t="s">
        <v>531</v>
      </c>
      <c r="C43" s="414" t="s">
        <v>511</v>
      </c>
      <c r="D43" s="416">
        <v>184059022303</v>
      </c>
      <c r="E43" s="20" t="s">
        <v>20</v>
      </c>
      <c r="F43" s="20">
        <v>15</v>
      </c>
      <c r="G43" s="21">
        <v>26.024049999999999</v>
      </c>
      <c r="H43" s="21">
        <f>+G43*0.005</f>
        <v>0.13012024999999999</v>
      </c>
      <c r="I43" s="21">
        <v>0</v>
      </c>
      <c r="J43" s="21">
        <f>((121+142)*1000)/1000000</f>
        <v>0.26300000000000001</v>
      </c>
      <c r="K43" s="21">
        <f>+G43*(8.5/100)</f>
        <v>2.2120442499999999</v>
      </c>
      <c r="L43" s="22">
        <v>0</v>
      </c>
      <c r="M43" s="21">
        <f>((2062+1419)*1000)/1000000</f>
        <v>3.4809999999999999</v>
      </c>
      <c r="N43" s="21">
        <f>+H43+K43</f>
        <v>2.3421645</v>
      </c>
      <c r="O43" s="21">
        <f>+((I43+J43)+(L43+M43))</f>
        <v>3.7439999999999998</v>
      </c>
      <c r="P43" s="21">
        <f>+N43-O43</f>
        <v>-1.4018354999999998</v>
      </c>
      <c r="Q43" s="109" t="s">
        <v>284</v>
      </c>
      <c r="R43" s="9" t="s">
        <v>404</v>
      </c>
      <c r="S43" s="10" t="s">
        <v>282</v>
      </c>
      <c r="T43" s="10" t="s">
        <v>310</v>
      </c>
    </row>
    <row r="44" spans="1:29" ht="317.10000000000002" customHeight="1" thickBot="1" x14ac:dyDescent="0.8">
      <c r="A44" s="395"/>
      <c r="B44" s="418"/>
      <c r="C44" s="418"/>
      <c r="D44" s="419"/>
      <c r="E44" s="20" t="s">
        <v>21</v>
      </c>
      <c r="F44" s="20">
        <v>7</v>
      </c>
      <c r="G44" s="23">
        <v>33.792340000000003</v>
      </c>
      <c r="H44" s="23">
        <f>+G44*0.01</f>
        <v>0.33792340000000004</v>
      </c>
      <c r="I44" s="23">
        <v>0</v>
      </c>
      <c r="J44" s="23">
        <f>((142+50+49+84)*1000)/1000000</f>
        <v>0.32500000000000001</v>
      </c>
      <c r="K44" s="23">
        <f>+G44*(10/100)</f>
        <v>3.3792340000000003</v>
      </c>
      <c r="L44" s="45">
        <v>0</v>
      </c>
      <c r="M44" s="23">
        <f>((1419+506+481+831)*1000)/1000000</f>
        <v>3.2370000000000001</v>
      </c>
      <c r="N44" s="23">
        <f t="shared" si="0"/>
        <v>3.7171574000000005</v>
      </c>
      <c r="O44" s="23">
        <f t="shared" si="7"/>
        <v>3.5620000000000003</v>
      </c>
      <c r="P44" s="23">
        <f t="shared" ref="P44:P107" si="8">+N44-O44</f>
        <v>0.15515740000000022</v>
      </c>
      <c r="Q44" s="109" t="s">
        <v>284</v>
      </c>
      <c r="R44" s="9" t="s">
        <v>460</v>
      </c>
      <c r="S44" s="10" t="s">
        <v>282</v>
      </c>
      <c r="T44" s="10" t="s">
        <v>283</v>
      </c>
    </row>
    <row r="45" spans="1:29" ht="317.10000000000002" customHeight="1" thickBot="1" x14ac:dyDescent="0.8">
      <c r="A45" s="395"/>
      <c r="B45" s="418"/>
      <c r="C45" s="418"/>
      <c r="D45" s="419"/>
      <c r="E45" s="58" t="s">
        <v>22</v>
      </c>
      <c r="F45" s="58">
        <v>7</v>
      </c>
      <c r="G45" s="60">
        <f>32914029/1000000</f>
        <v>32.914028999999999</v>
      </c>
      <c r="H45" s="60">
        <f>+G45*0.02</f>
        <v>0.65828058</v>
      </c>
      <c r="I45" s="60">
        <v>0</v>
      </c>
      <c r="J45" s="60">
        <f>(632*1000)/1000000</f>
        <v>0.63200000000000001</v>
      </c>
      <c r="K45" s="60">
        <f>+G45*(10.5/100)</f>
        <v>3.4559730449999999</v>
      </c>
      <c r="L45" s="61">
        <v>0</v>
      </c>
      <c r="M45" s="60">
        <f>((995+159+543+1039+574+5)*1000)/1000000</f>
        <v>3.3149999999999999</v>
      </c>
      <c r="N45" s="60">
        <f>+H45+K45</f>
        <v>4.1142536249999999</v>
      </c>
      <c r="O45" s="60">
        <f>+((I45+J45)+(L45+M45))</f>
        <v>3.9470000000000001</v>
      </c>
      <c r="P45" s="60">
        <f>+N45-O45</f>
        <v>0.16725362499999985</v>
      </c>
      <c r="Q45" s="110" t="s">
        <v>451</v>
      </c>
      <c r="R45" s="11" t="s">
        <v>36</v>
      </c>
      <c r="S45" s="7" t="s">
        <v>282</v>
      </c>
      <c r="T45" s="7" t="s">
        <v>283</v>
      </c>
      <c r="U45" s="7"/>
      <c r="V45" s="7"/>
      <c r="W45" s="7"/>
      <c r="X45" s="7"/>
      <c r="Y45" s="7"/>
      <c r="Z45" s="7"/>
      <c r="AA45" s="7"/>
      <c r="AB45" s="7"/>
      <c r="AC45" s="7"/>
    </row>
    <row r="46" spans="1:29" ht="317.10000000000002" customHeight="1" thickBot="1" x14ac:dyDescent="0.8">
      <c r="A46" s="396"/>
      <c r="B46" s="415"/>
      <c r="C46" s="415"/>
      <c r="D46" s="417"/>
      <c r="E46" s="47" t="s">
        <v>24</v>
      </c>
      <c r="F46" s="47">
        <v>10</v>
      </c>
      <c r="G46" s="143">
        <v>45.713068999999997</v>
      </c>
      <c r="H46" s="50">
        <f>+G46*(2.75/100)</f>
        <v>1.2571093974999998</v>
      </c>
      <c r="I46" s="50">
        <v>0</v>
      </c>
      <c r="J46" s="50">
        <f>((120+632+484)*1000)/1000000</f>
        <v>1.236</v>
      </c>
      <c r="K46" s="50">
        <f>+G46*(11/100)</f>
        <v>5.0284375899999993</v>
      </c>
      <c r="L46" s="51">
        <v>0</v>
      </c>
      <c r="M46" s="50">
        <f>((2053+249+800+5+1713)*1000)/1000000</f>
        <v>4.82</v>
      </c>
      <c r="N46" s="50">
        <f t="shared" si="0"/>
        <v>6.2855469874999992</v>
      </c>
      <c r="O46" s="50">
        <f>((I46+J46)+(L46+M46))</f>
        <v>6.056</v>
      </c>
      <c r="P46" s="50">
        <f t="shared" si="8"/>
        <v>0.22954698749999913</v>
      </c>
      <c r="Q46" s="111" t="s">
        <v>496</v>
      </c>
      <c r="R46" s="12" t="s">
        <v>37</v>
      </c>
      <c r="S46" s="7" t="s">
        <v>282</v>
      </c>
      <c r="T46" s="7" t="s">
        <v>283</v>
      </c>
      <c r="U46" s="7"/>
      <c r="V46" s="7"/>
      <c r="W46" s="7"/>
      <c r="X46" s="7"/>
      <c r="Y46" s="7"/>
      <c r="Z46" s="7"/>
      <c r="AA46" s="7"/>
      <c r="AB46" s="7"/>
      <c r="AC46" s="7"/>
    </row>
    <row r="47" spans="1:29" ht="317.10000000000002" customHeight="1" thickBot="1" x14ac:dyDescent="0.8">
      <c r="A47" s="20">
        <v>21</v>
      </c>
      <c r="B47" s="19" t="s">
        <v>532</v>
      </c>
      <c r="C47" s="19" t="s">
        <v>511</v>
      </c>
      <c r="D47" s="176">
        <v>430019004141</v>
      </c>
      <c r="E47" s="20" t="s">
        <v>20</v>
      </c>
      <c r="F47" s="20">
        <v>4</v>
      </c>
      <c r="G47" s="21">
        <v>26.416212000000002</v>
      </c>
      <c r="H47" s="21">
        <f>+G47*0.005</f>
        <v>0.13208106</v>
      </c>
      <c r="I47" s="21">
        <v>0</v>
      </c>
      <c r="J47" s="21">
        <v>0</v>
      </c>
      <c r="K47" s="21">
        <f>+G47*(8.5/100)</f>
        <v>2.2453780200000004</v>
      </c>
      <c r="L47" s="22">
        <v>0</v>
      </c>
      <c r="M47" s="21">
        <v>0</v>
      </c>
      <c r="N47" s="21">
        <f t="shared" si="0"/>
        <v>2.3774590800000004</v>
      </c>
      <c r="O47" s="21">
        <f t="shared" ref="O47:O77" si="9">+((I47+J47)+(L47+M47))</f>
        <v>0</v>
      </c>
      <c r="P47" s="21">
        <f t="shared" si="8"/>
        <v>2.3774590800000004</v>
      </c>
      <c r="Q47" s="109" t="s">
        <v>19</v>
      </c>
      <c r="R47" s="9" t="s">
        <v>449</v>
      </c>
      <c r="S47" s="10" t="s">
        <v>344</v>
      </c>
    </row>
    <row r="48" spans="1:29" ht="317.10000000000002" customHeight="1" thickBot="1" x14ac:dyDescent="0.8">
      <c r="A48" s="394">
        <v>22</v>
      </c>
      <c r="B48" s="414" t="s">
        <v>533</v>
      </c>
      <c r="C48" s="414" t="s">
        <v>511</v>
      </c>
      <c r="D48" s="416">
        <v>170019000438</v>
      </c>
      <c r="E48" s="20" t="s">
        <v>20</v>
      </c>
      <c r="F48" s="20">
        <v>10</v>
      </c>
      <c r="G48" s="21">
        <v>7.3930899999999999</v>
      </c>
      <c r="H48" s="21">
        <f>+G48*0.005</f>
        <v>3.6965450000000004E-2</v>
      </c>
      <c r="I48" s="21">
        <v>0</v>
      </c>
      <c r="J48" s="21">
        <f>((36*1000)/1000000)</f>
        <v>3.5999999999999997E-2</v>
      </c>
      <c r="K48" s="21">
        <f>+G48*(8.5/100)</f>
        <v>0.62841265000000002</v>
      </c>
      <c r="L48" s="22">
        <v>0.42070299999999999</v>
      </c>
      <c r="M48" s="21">
        <f>((147*1000)/1000000)</f>
        <v>0.14699999999999999</v>
      </c>
      <c r="N48" s="21">
        <f t="shared" si="0"/>
        <v>0.66537809999999997</v>
      </c>
      <c r="O48" s="21">
        <f t="shared" si="9"/>
        <v>0.60370299999999999</v>
      </c>
      <c r="P48" s="21">
        <f t="shared" si="8"/>
        <v>6.1675099999999983E-2</v>
      </c>
      <c r="Q48" s="109" t="s">
        <v>284</v>
      </c>
      <c r="R48" s="9" t="s">
        <v>355</v>
      </c>
      <c r="S48" s="10" t="s">
        <v>282</v>
      </c>
      <c r="T48" s="10" t="s">
        <v>283</v>
      </c>
    </row>
    <row r="49" spans="1:29" ht="317.10000000000002" customHeight="1" thickBot="1" x14ac:dyDescent="0.8">
      <c r="A49" s="395"/>
      <c r="B49" s="418"/>
      <c r="C49" s="418"/>
      <c r="D49" s="419"/>
      <c r="E49" s="20" t="s">
        <v>21</v>
      </c>
      <c r="F49" s="20">
        <v>16</v>
      </c>
      <c r="G49" s="20">
        <v>100.822924</v>
      </c>
      <c r="H49" s="23">
        <f>+G49*0.01</f>
        <v>1.0082292399999999</v>
      </c>
      <c r="I49" s="23">
        <v>0</v>
      </c>
      <c r="J49" s="23">
        <v>0</v>
      </c>
      <c r="K49" s="23">
        <f>+G49*(10/100)</f>
        <v>10.0822924</v>
      </c>
      <c r="L49" s="45">
        <v>0</v>
      </c>
      <c r="M49" s="23">
        <v>0</v>
      </c>
      <c r="N49" s="23">
        <f t="shared" si="0"/>
        <v>11.09052164</v>
      </c>
      <c r="O49" s="23">
        <f t="shared" si="9"/>
        <v>0</v>
      </c>
      <c r="P49" s="23">
        <f t="shared" si="8"/>
        <v>11.09052164</v>
      </c>
      <c r="Q49" s="109" t="s">
        <v>19</v>
      </c>
      <c r="R49" s="9" t="s">
        <v>489</v>
      </c>
      <c r="S49" s="10" t="s">
        <v>344</v>
      </c>
    </row>
    <row r="50" spans="1:29" ht="317.10000000000002" customHeight="1" thickBot="1" x14ac:dyDescent="0.8">
      <c r="A50" s="396"/>
      <c r="B50" s="415"/>
      <c r="C50" s="415"/>
      <c r="D50" s="417"/>
      <c r="E50" s="58" t="s">
        <v>22</v>
      </c>
      <c r="F50" s="58">
        <v>18</v>
      </c>
      <c r="G50" s="60">
        <f>61627138/1000000</f>
        <v>61.627138000000002</v>
      </c>
      <c r="H50" s="60">
        <f>+G50*0.02</f>
        <v>1.2325427600000001</v>
      </c>
      <c r="I50" s="60">
        <v>0</v>
      </c>
      <c r="J50" s="60">
        <v>0</v>
      </c>
      <c r="K50" s="60">
        <f>+G50*(10.5/100)</f>
        <v>6.47084949</v>
      </c>
      <c r="L50" s="61">
        <v>0</v>
      </c>
      <c r="M50" s="60">
        <v>0</v>
      </c>
      <c r="N50" s="60">
        <f t="shared" si="0"/>
        <v>7.7033922500000003</v>
      </c>
      <c r="O50" s="60">
        <f t="shared" si="9"/>
        <v>0</v>
      </c>
      <c r="P50" s="60">
        <f t="shared" si="8"/>
        <v>7.7033922500000003</v>
      </c>
      <c r="Q50" s="110" t="s">
        <v>19</v>
      </c>
      <c r="R50" s="11" t="s">
        <v>38</v>
      </c>
      <c r="S50" s="7" t="s">
        <v>344</v>
      </c>
      <c r="T50" s="7"/>
      <c r="U50" s="7"/>
      <c r="V50" s="7"/>
      <c r="W50" s="7"/>
      <c r="X50" s="7"/>
      <c r="Y50" s="7"/>
      <c r="Z50" s="7"/>
      <c r="AA50" s="7"/>
      <c r="AB50" s="7"/>
      <c r="AC50" s="7"/>
    </row>
    <row r="51" spans="1:29" ht="317.10000000000002" customHeight="1" thickBot="1" x14ac:dyDescent="0.8">
      <c r="A51" s="20">
        <v>23</v>
      </c>
      <c r="B51" s="19" t="s">
        <v>534</v>
      </c>
      <c r="C51" s="19" t="s">
        <v>511</v>
      </c>
      <c r="D51" s="176">
        <v>279004442</v>
      </c>
      <c r="E51" s="20" t="s">
        <v>20</v>
      </c>
      <c r="F51" s="20">
        <v>1.25</v>
      </c>
      <c r="G51" s="21">
        <v>7.5163149999999996</v>
      </c>
      <c r="H51" s="21">
        <f>+G51*0.005</f>
        <v>3.7581574999999999E-2</v>
      </c>
      <c r="I51" s="21">
        <v>0</v>
      </c>
      <c r="J51" s="21">
        <f>(((25+5+8)*1000)/1000000)</f>
        <v>3.7999999999999999E-2</v>
      </c>
      <c r="K51" s="21">
        <f>+G51*(8.5/100)</f>
        <v>0.63888677500000002</v>
      </c>
      <c r="L51" s="22">
        <v>0</v>
      </c>
      <c r="M51" s="21">
        <f>(((441+67+132)*1000)/1000000)</f>
        <v>0.64</v>
      </c>
      <c r="N51" s="21">
        <f t="shared" si="0"/>
        <v>0.67646835000000005</v>
      </c>
      <c r="O51" s="21">
        <f t="shared" si="9"/>
        <v>0.67800000000000005</v>
      </c>
      <c r="P51" s="21">
        <f t="shared" si="8"/>
        <v>-1.5316499999999955E-3</v>
      </c>
      <c r="Q51" s="109" t="s">
        <v>19</v>
      </c>
      <c r="R51" s="9" t="s">
        <v>39</v>
      </c>
      <c r="S51" s="10" t="s">
        <v>282</v>
      </c>
      <c r="T51" s="10" t="s">
        <v>310</v>
      </c>
    </row>
    <row r="52" spans="1:29" ht="317.10000000000002" customHeight="1" thickBot="1" x14ac:dyDescent="0.8">
      <c r="A52" s="20">
        <v>24</v>
      </c>
      <c r="B52" s="414" t="s">
        <v>535</v>
      </c>
      <c r="C52" s="414" t="s">
        <v>515</v>
      </c>
      <c r="D52" s="416">
        <v>102691116</v>
      </c>
      <c r="E52" s="20" t="s">
        <v>18</v>
      </c>
      <c r="F52" s="20">
        <v>2.778</v>
      </c>
      <c r="G52" s="23">
        <f>3497728.35714159/1000000</f>
        <v>3.49772835714159</v>
      </c>
      <c r="H52" s="23">
        <f>+G52*0.005</f>
        <v>1.7488641785707949E-2</v>
      </c>
      <c r="I52" s="23">
        <v>0</v>
      </c>
      <c r="J52" s="23">
        <v>0</v>
      </c>
      <c r="K52" s="23">
        <f>+G52*(8.5/100)</f>
        <v>0.29730691035703516</v>
      </c>
      <c r="L52" s="45">
        <v>0</v>
      </c>
      <c r="M52" s="23">
        <v>0</v>
      </c>
      <c r="N52" s="23">
        <f t="shared" si="0"/>
        <v>0.31479555214274313</v>
      </c>
      <c r="O52" s="23">
        <f t="shared" si="9"/>
        <v>0</v>
      </c>
      <c r="P52" s="23">
        <f t="shared" si="8"/>
        <v>0.31479555214274313</v>
      </c>
      <c r="Q52" s="109" t="s">
        <v>40</v>
      </c>
      <c r="R52" s="9" t="s">
        <v>343</v>
      </c>
      <c r="S52" s="10" t="s">
        <v>344</v>
      </c>
    </row>
    <row r="53" spans="1:29" ht="384.95" customHeight="1" thickBot="1" x14ac:dyDescent="0.8">
      <c r="A53" s="20"/>
      <c r="B53" s="415"/>
      <c r="C53" s="415"/>
      <c r="D53" s="417"/>
      <c r="E53" s="20" t="s">
        <v>20</v>
      </c>
      <c r="F53" s="20">
        <v>1.25</v>
      </c>
      <c r="G53" s="21">
        <f>10632641.2641208/1000000</f>
        <v>10.632641264120801</v>
      </c>
      <c r="H53" s="21">
        <f>+G53*0.005</f>
        <v>5.3163206320604006E-2</v>
      </c>
      <c r="I53" s="21">
        <v>0</v>
      </c>
      <c r="J53" s="21">
        <v>0</v>
      </c>
      <c r="K53" s="21">
        <f>+G53*(8.5/100)</f>
        <v>0.90377450745026822</v>
      </c>
      <c r="L53" s="22">
        <v>0</v>
      </c>
      <c r="M53" s="21">
        <v>0</v>
      </c>
      <c r="N53" s="21">
        <f t="shared" si="0"/>
        <v>0.95693771377087222</v>
      </c>
      <c r="O53" s="21">
        <f t="shared" si="9"/>
        <v>0</v>
      </c>
      <c r="P53" s="21">
        <f t="shared" si="8"/>
        <v>0.95693771377087222</v>
      </c>
      <c r="Q53" s="109" t="s">
        <v>30</v>
      </c>
      <c r="R53" s="9" t="s">
        <v>31</v>
      </c>
      <c r="S53" s="10" t="s">
        <v>344</v>
      </c>
    </row>
    <row r="54" spans="1:29" ht="317.10000000000002" customHeight="1" thickBot="1" x14ac:dyDescent="0.8">
      <c r="A54" s="394">
        <v>25</v>
      </c>
      <c r="B54" s="420" t="s">
        <v>537</v>
      </c>
      <c r="C54" s="414" t="s">
        <v>536</v>
      </c>
      <c r="D54" s="416">
        <v>900000001426</v>
      </c>
      <c r="E54" s="20" t="s">
        <v>20</v>
      </c>
      <c r="F54" s="20">
        <v>26.195</v>
      </c>
      <c r="G54" s="21">
        <v>5.3750999999999998</v>
      </c>
      <c r="H54" s="21">
        <f>+G54*0.005</f>
        <v>2.68755E-2</v>
      </c>
      <c r="I54" s="21">
        <v>0</v>
      </c>
      <c r="J54" s="21">
        <f>(28*1000/1000000)</f>
        <v>2.8000000000000001E-2</v>
      </c>
      <c r="K54" s="21">
        <f>+G54*(8.5/100)</f>
        <v>0.4568835</v>
      </c>
      <c r="L54" s="22">
        <v>0</v>
      </c>
      <c r="M54" s="21">
        <f>(466*1000/1000000)</f>
        <v>0.46600000000000003</v>
      </c>
      <c r="N54" s="21">
        <f t="shared" ref="N54:N60" si="10">+H54+K54</f>
        <v>0.48375899999999999</v>
      </c>
      <c r="O54" s="21">
        <f t="shared" ref="O54:O60" si="11">+((I54+J54)+(L54+M54))</f>
        <v>0.49400000000000005</v>
      </c>
      <c r="P54" s="21">
        <f t="shared" ref="P54:P60" si="12">+N54-O54</f>
        <v>-1.0241000000000056E-2</v>
      </c>
      <c r="Q54" s="109" t="s">
        <v>372</v>
      </c>
      <c r="R54" s="9" t="s">
        <v>441</v>
      </c>
      <c r="S54" s="10" t="s">
        <v>282</v>
      </c>
      <c r="T54" s="10" t="s">
        <v>310</v>
      </c>
    </row>
    <row r="55" spans="1:29" ht="371.1" customHeight="1" thickBot="1" x14ac:dyDescent="0.8">
      <c r="A55" s="395"/>
      <c r="B55" s="421"/>
      <c r="C55" s="418"/>
      <c r="D55" s="419"/>
      <c r="E55" s="47" t="s">
        <v>24</v>
      </c>
      <c r="F55" s="47">
        <v>9.44</v>
      </c>
      <c r="G55" s="50">
        <v>10.075621</v>
      </c>
      <c r="H55" s="50">
        <f>+G55*(2.75/100)</f>
        <v>0.27707957750000001</v>
      </c>
      <c r="I55" s="50">
        <v>0</v>
      </c>
      <c r="J55" s="50">
        <f>((278)*1000)/1000000</f>
        <v>0.27800000000000002</v>
      </c>
      <c r="K55" s="50">
        <f>+G55*(11/100)</f>
        <v>1.10831831</v>
      </c>
      <c r="L55" s="51">
        <v>0</v>
      </c>
      <c r="M55" s="50">
        <f>((1109)*1000)/1000000</f>
        <v>1.109</v>
      </c>
      <c r="N55" s="50">
        <f t="shared" si="10"/>
        <v>1.3853978874999999</v>
      </c>
      <c r="O55" s="50">
        <f t="shared" si="11"/>
        <v>1.387</v>
      </c>
      <c r="P55" s="50">
        <f t="shared" si="12"/>
        <v>-1.6021125000000858E-3</v>
      </c>
      <c r="Q55" s="192" t="s">
        <v>498</v>
      </c>
      <c r="R55" s="193" t="s">
        <v>42</v>
      </c>
      <c r="S55" s="7" t="s">
        <v>282</v>
      </c>
      <c r="T55" s="7" t="s">
        <v>310</v>
      </c>
      <c r="U55" s="7"/>
      <c r="V55" s="7"/>
      <c r="W55" s="7"/>
      <c r="X55" s="7"/>
      <c r="Y55" s="7"/>
      <c r="Z55" s="7"/>
      <c r="AA55" s="7"/>
      <c r="AB55" s="7"/>
      <c r="AC55" s="7"/>
    </row>
    <row r="56" spans="1:29" ht="317.10000000000002" customHeight="1" thickBot="1" x14ac:dyDescent="0.8">
      <c r="A56" s="395"/>
      <c r="B56" s="421"/>
      <c r="C56" s="415"/>
      <c r="D56" s="417"/>
      <c r="E56" s="194" t="s">
        <v>27</v>
      </c>
      <c r="F56" s="194">
        <v>9.5399999999999991</v>
      </c>
      <c r="G56" s="195">
        <v>35.5366</v>
      </c>
      <c r="H56" s="195">
        <f>+G56*(3.5/100)</f>
        <v>1.243781</v>
      </c>
      <c r="I56" s="195">
        <v>0</v>
      </c>
      <c r="J56" s="195">
        <f>((41+1053+71+79)*1000)/1000000</f>
        <v>1.244</v>
      </c>
      <c r="K56" s="195">
        <f>+G56*(11.5/100)</f>
        <v>4.0867089999999999</v>
      </c>
      <c r="L56" s="196">
        <v>0</v>
      </c>
      <c r="M56" s="195">
        <f>((3163+431+493)*1000)/1000000</f>
        <v>4.0869999999999997</v>
      </c>
      <c r="N56" s="195">
        <f t="shared" si="10"/>
        <v>5.3304900000000002</v>
      </c>
      <c r="O56" s="195">
        <f t="shared" si="11"/>
        <v>5.3309999999999995</v>
      </c>
      <c r="P56" s="195">
        <f t="shared" si="12"/>
        <v>-5.0999999999934431E-4</v>
      </c>
      <c r="Q56" s="197" t="s">
        <v>43</v>
      </c>
      <c r="R56" s="198" t="s">
        <v>44</v>
      </c>
      <c r="S56" s="7" t="s">
        <v>282</v>
      </c>
      <c r="T56" s="7" t="s">
        <v>310</v>
      </c>
      <c r="U56" s="7"/>
      <c r="V56" s="7"/>
      <c r="W56" s="7"/>
      <c r="X56" s="7"/>
      <c r="Y56" s="7"/>
      <c r="Z56" s="7"/>
      <c r="AA56" s="7"/>
      <c r="AB56" s="7"/>
      <c r="AC56" s="7"/>
    </row>
    <row r="57" spans="1:29" ht="317.10000000000002" customHeight="1" thickBot="1" x14ac:dyDescent="0.8">
      <c r="A57" s="395"/>
      <c r="B57" s="421"/>
      <c r="C57" s="414" t="s">
        <v>536</v>
      </c>
      <c r="D57" s="416">
        <v>900000799918</v>
      </c>
      <c r="E57" s="20" t="s">
        <v>20</v>
      </c>
      <c r="F57" s="20">
        <v>10</v>
      </c>
      <c r="G57" s="21">
        <f>4103939/1000000</f>
        <v>4.1039389999999996</v>
      </c>
      <c r="H57" s="21">
        <f>+G57*0.005</f>
        <v>2.0519694999999998E-2</v>
      </c>
      <c r="I57" s="21">
        <v>0</v>
      </c>
      <c r="J57" s="21">
        <f>(21*1000/1000000)</f>
        <v>2.1000000000000001E-2</v>
      </c>
      <c r="K57" s="21">
        <f>+G57*(8.5/100)</f>
        <v>0.34883481499999996</v>
      </c>
      <c r="L57" s="22">
        <v>0</v>
      </c>
      <c r="M57" s="21">
        <f>(349*1000/1000000)</f>
        <v>0.34899999999999998</v>
      </c>
      <c r="N57" s="21">
        <f t="shared" si="10"/>
        <v>0.36935450999999997</v>
      </c>
      <c r="O57" s="21">
        <f t="shared" si="11"/>
        <v>0.37</v>
      </c>
      <c r="P57" s="21">
        <f t="shared" si="12"/>
        <v>-6.4549000000002632E-4</v>
      </c>
      <c r="Q57" s="109" t="s">
        <v>372</v>
      </c>
      <c r="R57" s="9" t="s">
        <v>441</v>
      </c>
      <c r="S57" s="10" t="s">
        <v>282</v>
      </c>
      <c r="T57" s="10" t="s">
        <v>310</v>
      </c>
    </row>
    <row r="58" spans="1:29" ht="383.1" customHeight="1" thickBot="1" x14ac:dyDescent="0.8">
      <c r="A58" s="395"/>
      <c r="B58" s="421"/>
      <c r="C58" s="418"/>
      <c r="D58" s="419"/>
      <c r="E58" s="47" t="s">
        <v>24</v>
      </c>
      <c r="F58" s="47">
        <v>9.44</v>
      </c>
      <c r="G58" s="50">
        <v>10.026092999999999</v>
      </c>
      <c r="H58" s="50">
        <f>+G58*(2.75/100)</f>
        <v>0.27571755749999999</v>
      </c>
      <c r="I58" s="50">
        <v>0</v>
      </c>
      <c r="J58" s="50">
        <f>((276)*1000)/1000000</f>
        <v>0.27600000000000002</v>
      </c>
      <c r="K58" s="50">
        <f>+G58*(11/100)</f>
        <v>1.10287023</v>
      </c>
      <c r="L58" s="51">
        <v>0</v>
      </c>
      <c r="M58" s="50">
        <f>((1103)*1000)/1000000</f>
        <v>1.103</v>
      </c>
      <c r="N58" s="50">
        <f t="shared" si="10"/>
        <v>1.3785877874999999</v>
      </c>
      <c r="O58" s="50">
        <f t="shared" si="11"/>
        <v>1.379</v>
      </c>
      <c r="P58" s="50">
        <f t="shared" si="12"/>
        <v>-4.1221250000011977E-4</v>
      </c>
      <c r="Q58" s="192" t="s">
        <v>499</v>
      </c>
      <c r="R58" s="193" t="s">
        <v>41</v>
      </c>
      <c r="S58" s="7" t="s">
        <v>282</v>
      </c>
      <c r="T58" s="7" t="s">
        <v>310</v>
      </c>
      <c r="U58" s="7"/>
      <c r="V58" s="7"/>
      <c r="W58" s="7"/>
      <c r="X58" s="7"/>
      <c r="Y58" s="7"/>
      <c r="Z58" s="7"/>
      <c r="AA58" s="7"/>
      <c r="AB58" s="7"/>
      <c r="AC58" s="7"/>
    </row>
    <row r="59" spans="1:29" ht="317.10000000000002" customHeight="1" thickBot="1" x14ac:dyDescent="0.8">
      <c r="A59" s="395"/>
      <c r="B59" s="421"/>
      <c r="C59" s="415"/>
      <c r="D59" s="417"/>
      <c r="E59" s="194" t="s">
        <v>27</v>
      </c>
      <c r="F59" s="194">
        <v>9.4499999999999993</v>
      </c>
      <c r="G59" s="195">
        <v>35.42</v>
      </c>
      <c r="H59" s="195">
        <f>+G59*(3.5/100)</f>
        <v>1.2397000000000002</v>
      </c>
      <c r="I59" s="195">
        <v>0</v>
      </c>
      <c r="J59" s="195">
        <f>((42+1052+69+77)*1000)/1000000</f>
        <v>1.24</v>
      </c>
      <c r="K59" s="195">
        <f>+G59*(11.5/100)</f>
        <v>4.0733000000000006</v>
      </c>
      <c r="L59" s="196">
        <v>0</v>
      </c>
      <c r="M59" s="195">
        <f>((3208+385+481)*1000)/1000000</f>
        <v>4.0739999999999998</v>
      </c>
      <c r="N59" s="195">
        <f t="shared" si="10"/>
        <v>5.3130000000000006</v>
      </c>
      <c r="O59" s="195">
        <f t="shared" si="11"/>
        <v>5.3140000000000001</v>
      </c>
      <c r="P59" s="195">
        <f t="shared" si="12"/>
        <v>-9.9999999999944578E-4</v>
      </c>
      <c r="Q59" s="197" t="s">
        <v>43</v>
      </c>
      <c r="R59" s="199" t="s">
        <v>44</v>
      </c>
      <c r="S59" s="7" t="s">
        <v>282</v>
      </c>
      <c r="T59" s="7" t="s">
        <v>310</v>
      </c>
      <c r="U59" s="7"/>
      <c r="V59" s="7"/>
      <c r="W59" s="7"/>
      <c r="X59" s="7"/>
      <c r="Y59" s="7"/>
      <c r="Z59" s="7"/>
      <c r="AA59" s="7"/>
      <c r="AB59" s="7"/>
      <c r="AC59" s="7"/>
    </row>
    <row r="60" spans="1:29" ht="317.10000000000002" customHeight="1" thickBot="1" x14ac:dyDescent="0.8">
      <c r="A60" s="395"/>
      <c r="B60" s="421"/>
      <c r="C60" s="414" t="s">
        <v>536</v>
      </c>
      <c r="D60" s="416">
        <v>900000799917</v>
      </c>
      <c r="E60" s="20" t="s">
        <v>20</v>
      </c>
      <c r="F60" s="20">
        <v>10</v>
      </c>
      <c r="G60" s="21">
        <v>4.1039500000000002</v>
      </c>
      <c r="H60" s="21">
        <f>+G60*0.005</f>
        <v>2.051975E-2</v>
      </c>
      <c r="I60" s="21">
        <v>0</v>
      </c>
      <c r="J60" s="21">
        <f>(21*1000/1000000)</f>
        <v>2.1000000000000001E-2</v>
      </c>
      <c r="K60" s="21">
        <f>+G60*(8.5/100)</f>
        <v>0.34883575000000006</v>
      </c>
      <c r="L60" s="22">
        <v>0</v>
      </c>
      <c r="M60" s="21">
        <f>(349*1000/1000000)</f>
        <v>0.34899999999999998</v>
      </c>
      <c r="N60" s="21">
        <f t="shared" si="10"/>
        <v>0.36935550000000006</v>
      </c>
      <c r="O60" s="21">
        <f t="shared" si="11"/>
        <v>0.37</v>
      </c>
      <c r="P60" s="21">
        <f t="shared" si="12"/>
        <v>-6.4449999999993679E-4</v>
      </c>
      <c r="Q60" s="109" t="s">
        <v>46</v>
      </c>
      <c r="R60" s="26" t="s">
        <v>47</v>
      </c>
      <c r="S60" s="10" t="s">
        <v>282</v>
      </c>
      <c r="T60" s="10" t="s">
        <v>310</v>
      </c>
    </row>
    <row r="61" spans="1:29" ht="395.1" customHeight="1" thickBot="1" x14ac:dyDescent="0.8">
      <c r="A61" s="395"/>
      <c r="B61" s="421"/>
      <c r="C61" s="418"/>
      <c r="D61" s="419"/>
      <c r="E61" s="47" t="s">
        <v>24</v>
      </c>
      <c r="F61" s="47">
        <v>9.44</v>
      </c>
      <c r="G61" s="50">
        <v>10.02713</v>
      </c>
      <c r="H61" s="50">
        <f>+G61*(2.75/100)</f>
        <v>0.27574607499999998</v>
      </c>
      <c r="I61" s="50">
        <v>0</v>
      </c>
      <c r="J61" s="50">
        <f>((276)*1000)/1000000</f>
        <v>0.27600000000000002</v>
      </c>
      <c r="K61" s="50">
        <f>+G61*(11/100)</f>
        <v>1.1029842999999999</v>
      </c>
      <c r="L61" s="51">
        <v>0</v>
      </c>
      <c r="M61" s="50">
        <f>((1103)*1000)/1000000</f>
        <v>1.103</v>
      </c>
      <c r="N61" s="50">
        <f t="shared" si="0"/>
        <v>1.378730375</v>
      </c>
      <c r="O61" s="50">
        <f t="shared" si="9"/>
        <v>1.379</v>
      </c>
      <c r="P61" s="50">
        <f t="shared" si="8"/>
        <v>-2.6962500000005107E-4</v>
      </c>
      <c r="Q61" s="192" t="s">
        <v>499</v>
      </c>
      <c r="R61" s="193" t="s">
        <v>42</v>
      </c>
      <c r="S61" s="7" t="s">
        <v>282</v>
      </c>
      <c r="T61" s="7" t="s">
        <v>310</v>
      </c>
      <c r="U61" s="7"/>
      <c r="V61" s="7"/>
      <c r="W61" s="7"/>
      <c r="X61" s="7"/>
      <c r="Y61" s="7"/>
      <c r="Z61" s="7"/>
      <c r="AA61" s="7"/>
      <c r="AB61" s="7"/>
      <c r="AC61" s="7"/>
    </row>
    <row r="62" spans="1:29" ht="317.10000000000002" customHeight="1" thickBot="1" x14ac:dyDescent="0.8">
      <c r="A62" s="396"/>
      <c r="B62" s="422"/>
      <c r="C62" s="415"/>
      <c r="D62" s="417"/>
      <c r="E62" s="194" t="s">
        <v>27</v>
      </c>
      <c r="F62" s="194">
        <v>9.4499999999999993</v>
      </c>
      <c r="G62" s="195">
        <v>35.445500000000003</v>
      </c>
      <c r="H62" s="195">
        <f>+G62*(3.5/100)</f>
        <v>1.2405925000000002</v>
      </c>
      <c r="I62" s="195">
        <v>0</v>
      </c>
      <c r="J62" s="195">
        <f>((42+1053+69+77)*1000)/1000000</f>
        <v>1.2410000000000001</v>
      </c>
      <c r="K62" s="195">
        <f>+G62*(11.5/100)</f>
        <v>4.0762325000000006</v>
      </c>
      <c r="L62" s="196">
        <v>0</v>
      </c>
      <c r="M62" s="195">
        <f>((3211+385+481)*1000)/1000000</f>
        <v>4.077</v>
      </c>
      <c r="N62" s="195">
        <f t="shared" si="0"/>
        <v>5.3168250000000006</v>
      </c>
      <c r="O62" s="195">
        <f t="shared" si="9"/>
        <v>5.3179999999999996</v>
      </c>
      <c r="P62" s="195">
        <f t="shared" si="8"/>
        <v>-1.1749999999990379E-3</v>
      </c>
      <c r="Q62" s="197" t="s">
        <v>43</v>
      </c>
      <c r="R62" s="199" t="s">
        <v>44</v>
      </c>
      <c r="S62" s="7" t="s">
        <v>282</v>
      </c>
      <c r="T62" s="7" t="s">
        <v>310</v>
      </c>
      <c r="U62" s="7"/>
      <c r="V62" s="7"/>
      <c r="W62" s="7"/>
      <c r="X62" s="7"/>
      <c r="Y62" s="7"/>
      <c r="Z62" s="7"/>
      <c r="AA62" s="7"/>
      <c r="AB62" s="7"/>
      <c r="AC62" s="7"/>
    </row>
    <row r="63" spans="1:29" ht="317.10000000000002" customHeight="1" thickBot="1" x14ac:dyDescent="0.8">
      <c r="A63" s="20">
        <v>26</v>
      </c>
      <c r="B63" s="19" t="s">
        <v>538</v>
      </c>
      <c r="C63" s="19" t="s">
        <v>511</v>
      </c>
      <c r="D63" s="176">
        <v>450019001852</v>
      </c>
      <c r="E63" s="20" t="s">
        <v>20</v>
      </c>
      <c r="F63" s="20">
        <v>7.1449999999999996</v>
      </c>
      <c r="G63" s="21">
        <v>13.298120000000001</v>
      </c>
      <c r="H63" s="21">
        <f>+G63*0.005</f>
        <v>6.6490600000000011E-2</v>
      </c>
      <c r="I63" s="21">
        <v>0</v>
      </c>
      <c r="J63" s="21">
        <f>(62)*1000/1000000</f>
        <v>6.2E-2</v>
      </c>
      <c r="K63" s="21">
        <f>+G63*(8.5/100)</f>
        <v>1.1303402000000002</v>
      </c>
      <c r="L63" s="22">
        <v>0</v>
      </c>
      <c r="M63" s="21">
        <f>(1057)*1000/1000000</f>
        <v>1.0569999999999999</v>
      </c>
      <c r="N63" s="21">
        <f t="shared" si="0"/>
        <v>1.1968308000000003</v>
      </c>
      <c r="O63" s="21">
        <f t="shared" si="9"/>
        <v>1.119</v>
      </c>
      <c r="P63" s="21">
        <f t="shared" si="8"/>
        <v>7.7830800000000311E-2</v>
      </c>
      <c r="Q63" s="109" t="s">
        <v>284</v>
      </c>
      <c r="R63" s="25" t="s">
        <v>424</v>
      </c>
      <c r="S63" s="10" t="s">
        <v>282</v>
      </c>
      <c r="T63" s="10" t="s">
        <v>283</v>
      </c>
    </row>
    <row r="64" spans="1:29" ht="317.10000000000002" customHeight="1" thickBot="1" x14ac:dyDescent="0.8">
      <c r="A64" s="394">
        <v>27</v>
      </c>
      <c r="B64" s="414" t="s">
        <v>539</v>
      </c>
      <c r="C64" s="414" t="s">
        <v>511</v>
      </c>
      <c r="D64" s="416">
        <v>49069000664</v>
      </c>
      <c r="E64" s="20" t="s">
        <v>18</v>
      </c>
      <c r="F64" s="20">
        <v>5</v>
      </c>
      <c r="G64" s="23">
        <v>26.236173999999998</v>
      </c>
      <c r="H64" s="23">
        <f>+G64*0.005</f>
        <v>0.13118087</v>
      </c>
      <c r="I64" s="23">
        <v>0</v>
      </c>
      <c r="J64" s="23">
        <f>(126*1000/1000000)</f>
        <v>0.126</v>
      </c>
      <c r="K64" s="23">
        <f>+G64*(8.5/100)</f>
        <v>2.2300747900000002</v>
      </c>
      <c r="L64" s="45">
        <v>0</v>
      </c>
      <c r="M64" s="23">
        <v>2.1269999999999998</v>
      </c>
      <c r="N64" s="23">
        <f t="shared" si="0"/>
        <v>2.3612556600000003</v>
      </c>
      <c r="O64" s="23">
        <f t="shared" si="9"/>
        <v>2.2529999999999997</v>
      </c>
      <c r="P64" s="23">
        <f t="shared" si="8"/>
        <v>0.10825566000000064</v>
      </c>
      <c r="Q64" s="109" t="s">
        <v>284</v>
      </c>
      <c r="R64" s="25" t="s">
        <v>312</v>
      </c>
      <c r="S64" s="10" t="s">
        <v>282</v>
      </c>
      <c r="T64" s="10" t="s">
        <v>283</v>
      </c>
    </row>
    <row r="65" spans="1:29" ht="317.10000000000002" customHeight="1" thickBot="1" x14ac:dyDescent="0.8">
      <c r="A65" s="395"/>
      <c r="B65" s="418"/>
      <c r="C65" s="418"/>
      <c r="D65" s="419"/>
      <c r="E65" s="20" t="s">
        <v>20</v>
      </c>
      <c r="F65" s="20">
        <v>5</v>
      </c>
      <c r="G65" s="21">
        <v>43.715916</v>
      </c>
      <c r="H65" s="21">
        <f>+G65*0.005</f>
        <v>0.21857958</v>
      </c>
      <c r="I65" s="21">
        <v>0</v>
      </c>
      <c r="J65" s="21">
        <v>0</v>
      </c>
      <c r="K65" s="21">
        <f>+G65*(8.5/100)</f>
        <v>3.7158528600000005</v>
      </c>
      <c r="L65" s="22">
        <v>0</v>
      </c>
      <c r="M65" s="21">
        <v>0</v>
      </c>
      <c r="N65" s="21">
        <f>+H65+K65</f>
        <v>3.9344324400000006</v>
      </c>
      <c r="O65" s="21">
        <f>+((I65+J65)+(L65+M65))</f>
        <v>0</v>
      </c>
      <c r="P65" s="21">
        <f>+N65-O65</f>
        <v>3.9344324400000006</v>
      </c>
      <c r="Q65" s="109" t="s">
        <v>292</v>
      </c>
      <c r="R65" s="9" t="s">
        <v>421</v>
      </c>
      <c r="S65" s="10" t="s">
        <v>282</v>
      </c>
      <c r="T65" s="10" t="s">
        <v>283</v>
      </c>
    </row>
    <row r="66" spans="1:29" ht="351" customHeight="1" thickBot="1" x14ac:dyDescent="0.8">
      <c r="A66" s="395"/>
      <c r="B66" s="418"/>
      <c r="C66" s="418"/>
      <c r="D66" s="419"/>
      <c r="E66" s="20" t="s">
        <v>21</v>
      </c>
      <c r="F66" s="20">
        <v>7</v>
      </c>
      <c r="G66" s="23">
        <v>43.621923000000002</v>
      </c>
      <c r="H66" s="23">
        <f>+G66*0.01</f>
        <v>0.43621923000000001</v>
      </c>
      <c r="I66" s="23">
        <v>0</v>
      </c>
      <c r="J66" s="23">
        <v>0</v>
      </c>
      <c r="K66" s="23">
        <f>+G66*(10/100)</f>
        <v>4.3621923000000002</v>
      </c>
      <c r="L66" s="45">
        <v>0</v>
      </c>
      <c r="M66" s="23">
        <v>0</v>
      </c>
      <c r="N66" s="23">
        <f>+H66+K66</f>
        <v>4.7984115300000001</v>
      </c>
      <c r="O66" s="23">
        <f>+((I66+J66)+(L66+M66))</f>
        <v>0</v>
      </c>
      <c r="P66" s="23">
        <f>+N66-O66</f>
        <v>4.7984115300000001</v>
      </c>
      <c r="Q66" s="109" t="s">
        <v>19</v>
      </c>
      <c r="R66" s="9" t="s">
        <v>490</v>
      </c>
      <c r="S66" s="10" t="s">
        <v>344</v>
      </c>
    </row>
    <row r="67" spans="1:29" ht="317.10000000000002" customHeight="1" thickBot="1" x14ac:dyDescent="0.8">
      <c r="A67" s="396"/>
      <c r="B67" s="415"/>
      <c r="C67" s="415"/>
      <c r="D67" s="417"/>
      <c r="E67" s="58" t="s">
        <v>22</v>
      </c>
      <c r="F67" s="58">
        <v>5</v>
      </c>
      <c r="G67" s="60">
        <f>19930560/1000000</f>
        <v>19.93056</v>
      </c>
      <c r="H67" s="60">
        <f>+G67*0.02</f>
        <v>0.3986112</v>
      </c>
      <c r="I67" s="60">
        <v>0</v>
      </c>
      <c r="J67" s="60">
        <v>0</v>
      </c>
      <c r="K67" s="60">
        <f>+G67*(10.5/100)</f>
        <v>2.0927088</v>
      </c>
      <c r="L67" s="61">
        <v>0</v>
      </c>
      <c r="M67" s="60">
        <v>0</v>
      </c>
      <c r="N67" s="60">
        <f>+H67+K67</f>
        <v>2.49132</v>
      </c>
      <c r="O67" s="60">
        <f>+((I67+J67)+(L67+M67))</f>
        <v>0</v>
      </c>
      <c r="P67" s="60">
        <f>+N67-O67</f>
        <v>2.49132</v>
      </c>
      <c r="Q67" s="110" t="s">
        <v>19</v>
      </c>
      <c r="R67" s="11" t="s">
        <v>45</v>
      </c>
      <c r="S67" s="7" t="s">
        <v>344</v>
      </c>
      <c r="T67" s="7"/>
      <c r="U67" s="7"/>
      <c r="V67" s="7"/>
      <c r="W67" s="7"/>
      <c r="X67" s="7"/>
      <c r="Y67" s="7"/>
      <c r="Z67" s="7"/>
      <c r="AA67" s="7"/>
      <c r="AB67" s="7"/>
      <c r="AC67" s="7"/>
    </row>
    <row r="68" spans="1:29" ht="317.10000000000002" customHeight="1" thickBot="1" x14ac:dyDescent="0.8">
      <c r="A68" s="394">
        <v>28</v>
      </c>
      <c r="B68" s="414" t="s">
        <v>540</v>
      </c>
      <c r="C68" s="414" t="s">
        <v>511</v>
      </c>
      <c r="D68" s="416">
        <v>176029030376</v>
      </c>
      <c r="E68" s="20" t="s">
        <v>18</v>
      </c>
      <c r="F68" s="20">
        <v>1</v>
      </c>
      <c r="G68" s="23">
        <v>8.1634670000000007</v>
      </c>
      <c r="H68" s="23">
        <f>+G68*0.005</f>
        <v>4.0817335000000003E-2</v>
      </c>
      <c r="I68" s="23">
        <v>0</v>
      </c>
      <c r="J68" s="23">
        <v>0</v>
      </c>
      <c r="K68" s="23">
        <f>+G68*(8.5/100)</f>
        <v>0.69389469500000012</v>
      </c>
      <c r="L68" s="45">
        <v>0</v>
      </c>
      <c r="M68" s="23">
        <v>0</v>
      </c>
      <c r="N68" s="23">
        <f t="shared" si="0"/>
        <v>0.73471203000000007</v>
      </c>
      <c r="O68" s="23">
        <f t="shared" si="9"/>
        <v>0</v>
      </c>
      <c r="P68" s="23">
        <f t="shared" si="8"/>
        <v>0.73471203000000007</v>
      </c>
      <c r="Q68" s="109" t="s">
        <v>19</v>
      </c>
      <c r="R68" s="9" t="s">
        <v>346</v>
      </c>
      <c r="S68" s="10" t="s">
        <v>344</v>
      </c>
    </row>
    <row r="69" spans="1:29" ht="317.10000000000002" customHeight="1" thickBot="1" x14ac:dyDescent="0.8">
      <c r="A69" s="396"/>
      <c r="B69" s="415"/>
      <c r="C69" s="415"/>
      <c r="D69" s="417"/>
      <c r="E69" s="20" t="s">
        <v>20</v>
      </c>
      <c r="F69" s="20">
        <v>1.5</v>
      </c>
      <c r="G69" s="21">
        <v>10.768376999999999</v>
      </c>
      <c r="H69" s="21">
        <f>+G69*0.005</f>
        <v>5.3841884999999999E-2</v>
      </c>
      <c r="I69" s="21">
        <v>0</v>
      </c>
      <c r="J69" s="21">
        <v>0</v>
      </c>
      <c r="K69" s="21">
        <f>+G69*(8.5/100)</f>
        <v>0.91531204499999996</v>
      </c>
      <c r="L69" s="22">
        <v>0</v>
      </c>
      <c r="M69" s="21">
        <v>0</v>
      </c>
      <c r="N69" s="21">
        <f t="shared" ref="N69:N132" si="13">+H69+K69</f>
        <v>0.96915392999999994</v>
      </c>
      <c r="O69" s="21">
        <f t="shared" si="9"/>
        <v>0</v>
      </c>
      <c r="P69" s="21">
        <f t="shared" si="8"/>
        <v>0.96915392999999994</v>
      </c>
      <c r="Q69" s="109" t="s">
        <v>19</v>
      </c>
      <c r="R69" s="9" t="s">
        <v>449</v>
      </c>
      <c r="S69" s="10" t="s">
        <v>344</v>
      </c>
    </row>
    <row r="70" spans="1:29" ht="317.10000000000002" customHeight="1" thickBot="1" x14ac:dyDescent="0.8">
      <c r="A70" s="20">
        <v>29</v>
      </c>
      <c r="B70" s="19" t="s">
        <v>541</v>
      </c>
      <c r="C70" s="19" t="s">
        <v>511</v>
      </c>
      <c r="D70" s="176">
        <v>420819006080</v>
      </c>
      <c r="E70" s="20" t="s">
        <v>20</v>
      </c>
      <c r="F70" s="20">
        <v>3</v>
      </c>
      <c r="G70" s="21">
        <v>13.200701</v>
      </c>
      <c r="H70" s="21">
        <f>+G70*0.005</f>
        <v>6.6003505000000004E-2</v>
      </c>
      <c r="I70" s="21">
        <v>0</v>
      </c>
      <c r="J70" s="21">
        <v>0</v>
      </c>
      <c r="K70" s="21">
        <f>+G70*(8.5/100)</f>
        <v>1.1220595850000001</v>
      </c>
      <c r="L70" s="22">
        <v>0</v>
      </c>
      <c r="M70" s="21">
        <v>0</v>
      </c>
      <c r="N70" s="21">
        <f t="shared" si="13"/>
        <v>1.1880630900000002</v>
      </c>
      <c r="O70" s="21">
        <f t="shared" si="9"/>
        <v>0</v>
      </c>
      <c r="P70" s="21">
        <f t="shared" si="8"/>
        <v>1.1880630900000002</v>
      </c>
      <c r="Q70" s="109" t="s">
        <v>19</v>
      </c>
      <c r="R70" s="26" t="s">
        <v>446</v>
      </c>
      <c r="S70" s="10" t="s">
        <v>344</v>
      </c>
    </row>
    <row r="71" spans="1:29" ht="317.10000000000002" customHeight="1" thickBot="1" x14ac:dyDescent="0.8">
      <c r="A71" s="394">
        <v>30</v>
      </c>
      <c r="B71" s="414" t="s">
        <v>543</v>
      </c>
      <c r="C71" s="394" t="s">
        <v>511</v>
      </c>
      <c r="D71" s="416">
        <v>490019009910</v>
      </c>
      <c r="E71" s="20" t="s">
        <v>20</v>
      </c>
      <c r="F71" s="20">
        <v>11</v>
      </c>
      <c r="G71" s="21">
        <v>22.657343999999998</v>
      </c>
      <c r="H71" s="21">
        <f>+G71*0.005</f>
        <v>0.11328671999999999</v>
      </c>
      <c r="I71" s="21">
        <v>0</v>
      </c>
      <c r="J71" s="21">
        <f>+(17+11+15+22+28+16)/1000</f>
        <v>0.109</v>
      </c>
      <c r="K71" s="21">
        <f>+G71*(8.5/100)</f>
        <v>1.92587424</v>
      </c>
      <c r="L71" s="22">
        <v>0</v>
      </c>
      <c r="M71" s="21">
        <f>+(299+183+200+427+487+253)/1000</f>
        <v>1.849</v>
      </c>
      <c r="N71" s="21">
        <f>+H71+K71</f>
        <v>2.0391609599999998</v>
      </c>
      <c r="O71" s="21">
        <f>+((I71+J71)+(L71+M71))</f>
        <v>1.958</v>
      </c>
      <c r="P71" s="21">
        <f>+N71-O71</f>
        <v>8.1160959999999838E-2</v>
      </c>
      <c r="Q71" s="109" t="s">
        <v>305</v>
      </c>
      <c r="R71" s="26" t="s">
        <v>354</v>
      </c>
      <c r="S71" s="10" t="s">
        <v>282</v>
      </c>
      <c r="T71" s="10" t="s">
        <v>283</v>
      </c>
    </row>
    <row r="72" spans="1:29" ht="317.10000000000002" customHeight="1" thickBot="1" x14ac:dyDescent="0.8">
      <c r="A72" s="396"/>
      <c r="B72" s="415"/>
      <c r="C72" s="396"/>
      <c r="D72" s="419"/>
      <c r="E72" s="20" t="s">
        <v>21</v>
      </c>
      <c r="F72" s="20">
        <v>11</v>
      </c>
      <c r="G72" s="23">
        <v>24.352176</v>
      </c>
      <c r="H72" s="23">
        <f>+G72*0.01</f>
        <v>0.24352176</v>
      </c>
      <c r="I72" s="23">
        <v>0</v>
      </c>
      <c r="J72" s="23">
        <f>((29+30+29+30+30+29+59)*1000)/1000000</f>
        <v>0.23599999999999999</v>
      </c>
      <c r="K72" s="23">
        <f>+G72*(10/100)</f>
        <v>2.4352176000000001</v>
      </c>
      <c r="L72" s="45">
        <v>0</v>
      </c>
      <c r="M72" s="23">
        <f>((287+295+287+297+298+288+585)*1000)/1000000</f>
        <v>2.3370000000000002</v>
      </c>
      <c r="N72" s="23">
        <f t="shared" si="13"/>
        <v>2.6787393600000002</v>
      </c>
      <c r="O72" s="23">
        <f t="shared" si="9"/>
        <v>2.5730000000000004</v>
      </c>
      <c r="P72" s="23">
        <f t="shared" si="8"/>
        <v>0.10573935999999984</v>
      </c>
      <c r="Q72" s="109" t="s">
        <v>48</v>
      </c>
      <c r="R72" s="26" t="s">
        <v>456</v>
      </c>
      <c r="S72" s="10" t="s">
        <v>282</v>
      </c>
      <c r="T72" s="10" t="s">
        <v>283</v>
      </c>
    </row>
    <row r="73" spans="1:29" ht="317.10000000000002" customHeight="1" thickBot="1" x14ac:dyDescent="0.8">
      <c r="A73" s="394">
        <v>31</v>
      </c>
      <c r="B73" s="414" t="s">
        <v>542</v>
      </c>
      <c r="C73" s="414" t="s">
        <v>511</v>
      </c>
      <c r="D73" s="418">
        <v>22929010128</v>
      </c>
      <c r="E73" s="20" t="s">
        <v>18</v>
      </c>
      <c r="F73" s="20">
        <v>4.4000000000000004</v>
      </c>
      <c r="G73" s="23">
        <v>30.775711000000001</v>
      </c>
      <c r="H73" s="23">
        <f>+G73*0.005</f>
        <v>0.153878555</v>
      </c>
      <c r="I73" s="23">
        <v>0</v>
      </c>
      <c r="J73" s="23">
        <f>(134)*1000/1000000</f>
        <v>0.13400000000000001</v>
      </c>
      <c r="K73" s="23">
        <f>+G73*(8.5/100)</f>
        <v>2.6159354350000004</v>
      </c>
      <c r="L73" s="45">
        <v>0</v>
      </c>
      <c r="M73" s="23">
        <f>(2284)*1000/1000000</f>
        <v>2.2839999999999998</v>
      </c>
      <c r="N73" s="23">
        <f t="shared" si="13"/>
        <v>2.7698139900000003</v>
      </c>
      <c r="O73" s="23">
        <f t="shared" si="9"/>
        <v>2.4179999999999997</v>
      </c>
      <c r="P73" s="23">
        <f t="shared" si="8"/>
        <v>0.35181399000000058</v>
      </c>
      <c r="Q73" s="109" t="s">
        <v>277</v>
      </c>
      <c r="R73" s="26" t="s">
        <v>287</v>
      </c>
      <c r="S73" s="10" t="s">
        <v>282</v>
      </c>
      <c r="T73" s="10" t="s">
        <v>283</v>
      </c>
    </row>
    <row r="74" spans="1:29" ht="317.10000000000002" customHeight="1" thickBot="1" x14ac:dyDescent="0.8">
      <c r="A74" s="396"/>
      <c r="B74" s="415"/>
      <c r="C74" s="415"/>
      <c r="D74" s="415"/>
      <c r="E74" s="20" t="s">
        <v>20</v>
      </c>
      <c r="F74" s="20">
        <v>4.4000000000000004</v>
      </c>
      <c r="G74" s="21">
        <v>42.444321000000002</v>
      </c>
      <c r="H74" s="21">
        <f>+G74*0.005</f>
        <v>0.21222160500000001</v>
      </c>
      <c r="I74" s="21">
        <v>0</v>
      </c>
      <c r="J74" s="21">
        <v>0</v>
      </c>
      <c r="K74" s="21">
        <f>+G74*(8.5/100)</f>
        <v>3.6077672850000004</v>
      </c>
      <c r="L74" s="22">
        <v>0</v>
      </c>
      <c r="M74" s="21">
        <v>0</v>
      </c>
      <c r="N74" s="21">
        <f t="shared" si="13"/>
        <v>3.8199888900000003</v>
      </c>
      <c r="O74" s="21">
        <f t="shared" si="9"/>
        <v>0</v>
      </c>
      <c r="P74" s="21">
        <f t="shared" si="8"/>
        <v>3.8199888900000003</v>
      </c>
      <c r="Q74" s="109" t="s">
        <v>19</v>
      </c>
      <c r="R74" s="26" t="s">
        <v>449</v>
      </c>
      <c r="S74" s="10" t="s">
        <v>344</v>
      </c>
    </row>
    <row r="75" spans="1:29" ht="317.10000000000002" customHeight="1" thickBot="1" x14ac:dyDescent="0.8">
      <c r="A75" s="394">
        <v>32</v>
      </c>
      <c r="B75" s="414" t="s">
        <v>544</v>
      </c>
      <c r="C75" s="414" t="s">
        <v>511</v>
      </c>
      <c r="D75" s="416">
        <v>49069002284</v>
      </c>
      <c r="E75" s="20" t="s">
        <v>18</v>
      </c>
      <c r="F75" s="20">
        <v>4</v>
      </c>
      <c r="G75" s="23">
        <v>33.150309</v>
      </c>
      <c r="H75" s="23">
        <f>+G75*0.005</f>
        <v>0.165751545</v>
      </c>
      <c r="I75" s="23">
        <v>0</v>
      </c>
      <c r="J75" s="45">
        <f>((67+81)*1000/10000000)</f>
        <v>1.4800000000000001E-2</v>
      </c>
      <c r="K75" s="23">
        <f>+G75*(8.5/100)</f>
        <v>2.817776265</v>
      </c>
      <c r="L75" s="45">
        <v>0</v>
      </c>
      <c r="M75" s="23">
        <f>((1138+1378)*1000/1000000)</f>
        <v>2.516</v>
      </c>
      <c r="N75" s="23">
        <f>+H75+K75</f>
        <v>2.98352781</v>
      </c>
      <c r="O75" s="23">
        <f>+((I75+J75)+(L75+M75))</f>
        <v>2.5308000000000002</v>
      </c>
      <c r="P75" s="23">
        <f>+N75-O75</f>
        <v>0.45272780999999984</v>
      </c>
      <c r="Q75" s="109" t="s">
        <v>284</v>
      </c>
      <c r="R75" s="26" t="s">
        <v>300</v>
      </c>
      <c r="S75" s="10" t="s">
        <v>282</v>
      </c>
      <c r="T75" s="10" t="s">
        <v>283</v>
      </c>
    </row>
    <row r="76" spans="1:29" ht="317.10000000000002" customHeight="1" thickBot="1" x14ac:dyDescent="0.8">
      <c r="A76" s="395"/>
      <c r="B76" s="418"/>
      <c r="C76" s="418"/>
      <c r="D76" s="419"/>
      <c r="E76" s="20" t="s">
        <v>20</v>
      </c>
      <c r="F76" s="20">
        <v>5</v>
      </c>
      <c r="G76" s="21">
        <v>40.370043000000003</v>
      </c>
      <c r="H76" s="21">
        <f>+G76*0.005</f>
        <v>0.20185021500000003</v>
      </c>
      <c r="I76" s="21">
        <v>0</v>
      </c>
      <c r="J76" s="21">
        <f>((91+45+45)*1000)/1000000</f>
        <v>0.18099999999999999</v>
      </c>
      <c r="K76" s="21">
        <f>+G76*(8.5/100)</f>
        <v>3.4314536550000003</v>
      </c>
      <c r="L76" s="22">
        <v>0</v>
      </c>
      <c r="M76" s="21">
        <f>((1539+757+753)*1000)/1000000</f>
        <v>3.0489999999999999</v>
      </c>
      <c r="N76" s="21">
        <f>+H76+K76</f>
        <v>3.6333038700000002</v>
      </c>
      <c r="O76" s="21">
        <f>+((I76+J76)+(L76+M76))</f>
        <v>3.23</v>
      </c>
      <c r="P76" s="21">
        <f>+N76-O76</f>
        <v>0.40330387000000023</v>
      </c>
      <c r="Q76" s="109" t="s">
        <v>19</v>
      </c>
      <c r="R76" s="26" t="s">
        <v>49</v>
      </c>
      <c r="S76" s="10" t="s">
        <v>282</v>
      </c>
      <c r="T76" s="10" t="s">
        <v>283</v>
      </c>
    </row>
    <row r="77" spans="1:29" ht="317.10000000000002" customHeight="1" thickBot="1" x14ac:dyDescent="0.8">
      <c r="A77" s="396"/>
      <c r="B77" s="415"/>
      <c r="C77" s="415"/>
      <c r="D77" s="417"/>
      <c r="E77" s="20" t="s">
        <v>21</v>
      </c>
      <c r="F77" s="20">
        <v>5</v>
      </c>
      <c r="G77" s="23">
        <v>30.027016</v>
      </c>
      <c r="H77" s="23">
        <f>+G77*0.01</f>
        <v>0.30027016000000001</v>
      </c>
      <c r="I77" s="45">
        <v>0</v>
      </c>
      <c r="J77" s="23">
        <f>((124+30+31+33+77)*1000)/1000000</f>
        <v>0.29499999999999998</v>
      </c>
      <c r="K77" s="23">
        <f>+G77*(10/100)</f>
        <v>3.0027016</v>
      </c>
      <c r="L77" s="23">
        <f>(0.051263+0.425033+0.676642+0.624462+0.41919+0.416643+0.112613+0.109896+0.202482+0.053223)</f>
        <v>3.0914470000000001</v>
      </c>
      <c r="M77" s="23">
        <f>(383*1000)/1000000</f>
        <v>0.38300000000000001</v>
      </c>
      <c r="N77" s="23">
        <f t="shared" si="13"/>
        <v>3.3029717600000001</v>
      </c>
      <c r="O77" s="23">
        <f t="shared" si="9"/>
        <v>3.769447</v>
      </c>
      <c r="P77" s="23">
        <f t="shared" si="8"/>
        <v>-0.46647523999999985</v>
      </c>
      <c r="Q77" s="109" t="s">
        <v>284</v>
      </c>
      <c r="R77" s="26" t="s">
        <v>472</v>
      </c>
      <c r="S77" s="10" t="s">
        <v>282</v>
      </c>
      <c r="T77" s="10" t="s">
        <v>310</v>
      </c>
    </row>
    <row r="78" spans="1:29" ht="317.10000000000002" customHeight="1" thickBot="1" x14ac:dyDescent="0.8">
      <c r="A78" s="394">
        <v>33</v>
      </c>
      <c r="B78" s="414" t="s">
        <v>545</v>
      </c>
      <c r="C78" s="414" t="s">
        <v>511</v>
      </c>
      <c r="D78" s="416">
        <v>170149002009</v>
      </c>
      <c r="E78" s="20" t="s">
        <v>20</v>
      </c>
      <c r="F78" s="20">
        <v>9.5</v>
      </c>
      <c r="G78" s="21">
        <v>42.923319999999997</v>
      </c>
      <c r="H78" s="21">
        <f>+G78*0.005</f>
        <v>0.21461659999999999</v>
      </c>
      <c r="I78" s="21">
        <v>0</v>
      </c>
      <c r="J78" s="21">
        <f>((103+35+33+35)*1000)/1000000</f>
        <v>0.20599999999999999</v>
      </c>
      <c r="K78" s="21">
        <f>+G78*(8.5/100)</f>
        <v>3.6484822000000001</v>
      </c>
      <c r="L78" s="22">
        <v>0</v>
      </c>
      <c r="M78" s="21">
        <f>((1760+587+569+579)*1000)/1000000</f>
        <v>3.4950000000000001</v>
      </c>
      <c r="N78" s="21">
        <f>+H78+K78</f>
        <v>3.8630987999999999</v>
      </c>
      <c r="O78" s="21">
        <f>+((I78+J78)+(L78+M78))</f>
        <v>3.7010000000000001</v>
      </c>
      <c r="P78" s="21">
        <f>+N78-O78</f>
        <v>0.16209879999999988</v>
      </c>
      <c r="Q78" s="109" t="s">
        <v>284</v>
      </c>
      <c r="R78" s="26" t="s">
        <v>376</v>
      </c>
      <c r="S78" s="10" t="s">
        <v>282</v>
      </c>
      <c r="T78" s="10" t="s">
        <v>283</v>
      </c>
    </row>
    <row r="79" spans="1:29" ht="317.10000000000002" customHeight="1" thickBot="1" x14ac:dyDescent="0.8">
      <c r="A79" s="396"/>
      <c r="B79" s="415"/>
      <c r="C79" s="415"/>
      <c r="D79" s="417"/>
      <c r="E79" s="20" t="s">
        <v>21</v>
      </c>
      <c r="F79" s="20">
        <v>10</v>
      </c>
      <c r="G79" s="23">
        <v>83.327102999999994</v>
      </c>
      <c r="H79" s="23">
        <f>+G79*0.01</f>
        <v>0.83327102999999991</v>
      </c>
      <c r="I79" s="23">
        <v>0</v>
      </c>
      <c r="J79" s="23">
        <f>((146+220+72+75+74+72+141)*1000)/1000000</f>
        <v>0.8</v>
      </c>
      <c r="K79" s="23">
        <f>+G79*(10/100)</f>
        <v>8.3327103000000005</v>
      </c>
      <c r="L79" s="45">
        <v>0</v>
      </c>
      <c r="M79" s="23">
        <f>((1460+2201+722+743+744+719+1408)*1000)/1000000</f>
        <v>7.9969999999999999</v>
      </c>
      <c r="N79" s="23">
        <f t="shared" si="13"/>
        <v>9.165981330000001</v>
      </c>
      <c r="O79" s="23">
        <f t="shared" ref="O79:O142" si="14">+((I79+J79)+(L79+M79))</f>
        <v>8.7970000000000006</v>
      </c>
      <c r="P79" s="23">
        <f t="shared" si="8"/>
        <v>0.36898133000000044</v>
      </c>
      <c r="Q79" s="109" t="s">
        <v>284</v>
      </c>
      <c r="R79" s="26" t="s">
        <v>469</v>
      </c>
      <c r="S79" s="10" t="s">
        <v>282</v>
      </c>
      <c r="T79" s="10" t="s">
        <v>283</v>
      </c>
    </row>
    <row r="80" spans="1:29" ht="317.10000000000002" customHeight="1" thickBot="1" x14ac:dyDescent="0.8">
      <c r="A80" s="394">
        <v>34</v>
      </c>
      <c r="B80" s="414" t="s">
        <v>546</v>
      </c>
      <c r="C80" s="414" t="s">
        <v>511</v>
      </c>
      <c r="D80" s="416">
        <v>20169009679</v>
      </c>
      <c r="E80" s="20" t="s">
        <v>20</v>
      </c>
      <c r="F80" s="20">
        <v>13.44</v>
      </c>
      <c r="G80" s="21">
        <v>33.15352</v>
      </c>
      <c r="H80" s="21">
        <f>+G80*0.005</f>
        <v>0.16576760000000001</v>
      </c>
      <c r="I80" s="21">
        <v>0</v>
      </c>
      <c r="J80" s="21">
        <f>(94+51+22)*1000/1000000</f>
        <v>0.16700000000000001</v>
      </c>
      <c r="K80" s="21">
        <f>+G80*(8.5/100)</f>
        <v>2.8180492000000004</v>
      </c>
      <c r="L80" s="22">
        <v>0</v>
      </c>
      <c r="M80" s="21">
        <f>(1604+851+364)*1000/1000000</f>
        <v>2.819</v>
      </c>
      <c r="N80" s="21">
        <f>+H80+K80</f>
        <v>2.9838168000000005</v>
      </c>
      <c r="O80" s="21">
        <f>+((I80+J80)+(L80+M80))</f>
        <v>2.9859999999999998</v>
      </c>
      <c r="P80" s="21">
        <f>+N80-O80</f>
        <v>-2.1831999999992746E-3</v>
      </c>
      <c r="Q80" s="109" t="s">
        <v>284</v>
      </c>
      <c r="R80" s="26" t="s">
        <v>393</v>
      </c>
      <c r="S80" s="10" t="s">
        <v>282</v>
      </c>
      <c r="T80" s="10" t="s">
        <v>310</v>
      </c>
    </row>
    <row r="81" spans="1:20" ht="317.10000000000002" customHeight="1" thickBot="1" x14ac:dyDescent="0.8">
      <c r="A81" s="396"/>
      <c r="B81" s="415"/>
      <c r="C81" s="415"/>
      <c r="D81" s="417"/>
      <c r="E81" s="20" t="s">
        <v>21</v>
      </c>
      <c r="F81" s="20">
        <v>17</v>
      </c>
      <c r="G81" s="23">
        <v>85.799610999999999</v>
      </c>
      <c r="H81" s="23">
        <f>+G81*0.01</f>
        <v>0.85799610999999998</v>
      </c>
      <c r="I81" s="23">
        <v>0</v>
      </c>
      <c r="J81" s="23">
        <f>((108+173+22+99+96+122+126)*1000)/1000000</f>
        <v>0.746</v>
      </c>
      <c r="K81" s="23">
        <f>+G81*(10/100)</f>
        <v>8.5799611000000002</v>
      </c>
      <c r="L81" s="45">
        <v>0</v>
      </c>
      <c r="M81" s="23">
        <f>((1078+1585+364+993+960+1223+1261)*1000)/1000000</f>
        <v>7.4640000000000004</v>
      </c>
      <c r="N81" s="23">
        <f t="shared" si="13"/>
        <v>9.4379572100000004</v>
      </c>
      <c r="O81" s="23">
        <f t="shared" si="14"/>
        <v>8.2100000000000009</v>
      </c>
      <c r="P81" s="23">
        <f t="shared" si="8"/>
        <v>1.2279572099999996</v>
      </c>
      <c r="Q81" s="109" t="s">
        <v>284</v>
      </c>
      <c r="R81" s="26" t="s">
        <v>461</v>
      </c>
      <c r="S81" s="10" t="s">
        <v>282</v>
      </c>
      <c r="T81" s="10" t="s">
        <v>283</v>
      </c>
    </row>
    <row r="82" spans="1:20" ht="317.10000000000002" customHeight="1" thickBot="1" x14ac:dyDescent="0.8">
      <c r="A82" s="20">
        <v>35</v>
      </c>
      <c r="B82" s="19" t="s">
        <v>547</v>
      </c>
      <c r="C82" s="19" t="s">
        <v>511</v>
      </c>
      <c r="D82" s="176">
        <v>22929022910</v>
      </c>
      <c r="E82" s="20" t="s">
        <v>20</v>
      </c>
      <c r="F82" s="20">
        <v>2</v>
      </c>
      <c r="G82" s="21">
        <v>4.1786399999999997</v>
      </c>
      <c r="H82" s="21">
        <f t="shared" ref="H82:H98" si="15">+G82*0.005</f>
        <v>2.0893199999999997E-2</v>
      </c>
      <c r="I82" s="21">
        <v>0</v>
      </c>
      <c r="J82" s="21">
        <v>0</v>
      </c>
      <c r="K82" s="21">
        <f t="shared" ref="K82:K98" si="16">+G82*(8.5/100)</f>
        <v>0.35518440000000001</v>
      </c>
      <c r="L82" s="22">
        <v>0</v>
      </c>
      <c r="M82" s="21">
        <v>0</v>
      </c>
      <c r="N82" s="21">
        <f t="shared" si="13"/>
        <v>0.37607760000000001</v>
      </c>
      <c r="O82" s="21">
        <f t="shared" si="14"/>
        <v>0</v>
      </c>
      <c r="P82" s="21">
        <f t="shared" si="8"/>
        <v>0.37607760000000001</v>
      </c>
      <c r="Q82" s="109" t="s">
        <v>19</v>
      </c>
      <c r="R82" s="26" t="s">
        <v>449</v>
      </c>
      <c r="S82" s="10" t="s">
        <v>344</v>
      </c>
    </row>
    <row r="83" spans="1:20" ht="408.95" customHeight="1" thickBot="1" x14ac:dyDescent="0.8">
      <c r="A83" s="20">
        <v>36</v>
      </c>
      <c r="B83" s="19" t="s">
        <v>548</v>
      </c>
      <c r="C83" s="19" t="s">
        <v>536</v>
      </c>
      <c r="D83" s="176">
        <v>900000068918</v>
      </c>
      <c r="E83" s="20" t="s">
        <v>20</v>
      </c>
      <c r="F83" s="20">
        <v>3.39</v>
      </c>
      <c r="G83" s="21">
        <v>3.77</v>
      </c>
      <c r="H83" s="21">
        <f t="shared" si="15"/>
        <v>1.8850000000000002E-2</v>
      </c>
      <c r="I83" s="21">
        <v>0</v>
      </c>
      <c r="J83" s="21">
        <v>0</v>
      </c>
      <c r="K83" s="21">
        <f t="shared" si="16"/>
        <v>0.32045000000000001</v>
      </c>
      <c r="L83" s="22">
        <v>0</v>
      </c>
      <c r="M83" s="21">
        <v>0</v>
      </c>
      <c r="N83" s="21">
        <f t="shared" si="13"/>
        <v>0.33929999999999999</v>
      </c>
      <c r="O83" s="21">
        <f t="shared" si="14"/>
        <v>0</v>
      </c>
      <c r="P83" s="21">
        <f t="shared" si="8"/>
        <v>0.33929999999999999</v>
      </c>
      <c r="Q83" s="109" t="s">
        <v>46</v>
      </c>
      <c r="R83" s="26" t="s">
        <v>445</v>
      </c>
      <c r="S83" s="10" t="s">
        <v>344</v>
      </c>
    </row>
    <row r="84" spans="1:20" ht="317.10000000000002" customHeight="1" thickBot="1" x14ac:dyDescent="0.8">
      <c r="A84" s="394">
        <v>37</v>
      </c>
      <c r="B84" s="414" t="s">
        <v>549</v>
      </c>
      <c r="C84" s="414" t="s">
        <v>511</v>
      </c>
      <c r="D84" s="416">
        <v>137589002241</v>
      </c>
      <c r="E84" s="20" t="s">
        <v>18</v>
      </c>
      <c r="F84" s="20">
        <v>1</v>
      </c>
      <c r="G84" s="23">
        <v>3.4823870000000001</v>
      </c>
      <c r="H84" s="23">
        <f t="shared" si="15"/>
        <v>1.7411935E-2</v>
      </c>
      <c r="I84" s="23">
        <v>0</v>
      </c>
      <c r="J84" s="23">
        <v>1.6E-2</v>
      </c>
      <c r="K84" s="23">
        <f t="shared" si="16"/>
        <v>0.29600289500000004</v>
      </c>
      <c r="L84" s="45">
        <v>0</v>
      </c>
      <c r="M84" s="23">
        <v>0.25600000000000001</v>
      </c>
      <c r="N84" s="23">
        <f t="shared" si="13"/>
        <v>0.31341483000000003</v>
      </c>
      <c r="O84" s="23">
        <f t="shared" si="14"/>
        <v>0.27200000000000002</v>
      </c>
      <c r="P84" s="23">
        <f t="shared" si="8"/>
        <v>4.1414830000000014E-2</v>
      </c>
      <c r="Q84" s="109" t="s">
        <v>284</v>
      </c>
      <c r="R84" s="26" t="s">
        <v>296</v>
      </c>
      <c r="S84" s="10" t="s">
        <v>282</v>
      </c>
      <c r="T84" s="10" t="s">
        <v>283</v>
      </c>
    </row>
    <row r="85" spans="1:20" ht="317.10000000000002" customHeight="1" thickBot="1" x14ac:dyDescent="0.8">
      <c r="A85" s="396"/>
      <c r="B85" s="415"/>
      <c r="C85" s="415"/>
      <c r="D85" s="417"/>
      <c r="E85" s="20" t="s">
        <v>20</v>
      </c>
      <c r="F85" s="20">
        <v>2</v>
      </c>
      <c r="G85" s="21">
        <v>10.940999</v>
      </c>
      <c r="H85" s="21">
        <f t="shared" si="15"/>
        <v>5.4704994999999999E-2</v>
      </c>
      <c r="I85" s="21">
        <v>0</v>
      </c>
      <c r="J85" s="21">
        <f>(6+7+42)*1000/1000000</f>
        <v>5.5E-2</v>
      </c>
      <c r="K85" s="21">
        <f t="shared" si="16"/>
        <v>0.92998491500000002</v>
      </c>
      <c r="L85" s="22">
        <v>0</v>
      </c>
      <c r="M85" s="21">
        <f>(91+119+721)*1000/1000000</f>
        <v>0.93100000000000005</v>
      </c>
      <c r="N85" s="21">
        <f t="shared" si="13"/>
        <v>0.98468991000000006</v>
      </c>
      <c r="O85" s="21">
        <f t="shared" si="14"/>
        <v>0.9860000000000001</v>
      </c>
      <c r="P85" s="21">
        <f t="shared" si="8"/>
        <v>-1.3100900000000415E-3</v>
      </c>
      <c r="Q85" s="109" t="s">
        <v>284</v>
      </c>
      <c r="R85" s="26" t="s">
        <v>427</v>
      </c>
      <c r="S85" s="10" t="s">
        <v>282</v>
      </c>
      <c r="T85" s="10" t="s">
        <v>310</v>
      </c>
    </row>
    <row r="86" spans="1:20" ht="317.10000000000002" customHeight="1" thickBot="1" x14ac:dyDescent="0.8">
      <c r="A86" s="20">
        <v>38</v>
      </c>
      <c r="B86" s="19" t="s">
        <v>550</v>
      </c>
      <c r="C86" s="19" t="s">
        <v>511</v>
      </c>
      <c r="D86" s="176">
        <v>331519004484</v>
      </c>
      <c r="E86" s="20" t="s">
        <v>20</v>
      </c>
      <c r="F86" s="20">
        <v>2.25</v>
      </c>
      <c r="G86" s="21">
        <v>11.019608</v>
      </c>
      <c r="H86" s="21">
        <f t="shared" si="15"/>
        <v>5.5098040000000001E-2</v>
      </c>
      <c r="I86" s="21">
        <v>0</v>
      </c>
      <c r="J86" s="21">
        <f>(((51)*1000)/1000000)</f>
        <v>5.0999999999999997E-2</v>
      </c>
      <c r="K86" s="21">
        <f t="shared" si="16"/>
        <v>0.93666668000000008</v>
      </c>
      <c r="L86" s="22">
        <v>0</v>
      </c>
      <c r="M86" s="21">
        <f>(((836)*1000)/1000000)</f>
        <v>0.83599999999999997</v>
      </c>
      <c r="N86" s="21">
        <f t="shared" si="13"/>
        <v>0.99176472000000004</v>
      </c>
      <c r="O86" s="21">
        <f t="shared" si="14"/>
        <v>0.88700000000000001</v>
      </c>
      <c r="P86" s="21">
        <f t="shared" si="8"/>
        <v>0.10476472000000003</v>
      </c>
      <c r="Q86" s="109" t="s">
        <v>284</v>
      </c>
      <c r="R86" s="26" t="s">
        <v>383</v>
      </c>
      <c r="S86" s="10" t="s">
        <v>282</v>
      </c>
      <c r="T86" s="10" t="s">
        <v>283</v>
      </c>
    </row>
    <row r="87" spans="1:20" ht="317.10000000000002" customHeight="1" thickBot="1" x14ac:dyDescent="0.8">
      <c r="A87" s="394">
        <v>39</v>
      </c>
      <c r="B87" s="414" t="s">
        <v>551</v>
      </c>
      <c r="C87" s="414" t="s">
        <v>511</v>
      </c>
      <c r="D87" s="416">
        <v>173619032920</v>
      </c>
      <c r="E87" s="20" t="s">
        <v>18</v>
      </c>
      <c r="F87" s="20">
        <v>1</v>
      </c>
      <c r="G87" s="44">
        <v>7.9465490000000001</v>
      </c>
      <c r="H87" s="23">
        <f>+G87*0.005</f>
        <v>3.9732745E-2</v>
      </c>
      <c r="I87" s="23">
        <v>0</v>
      </c>
      <c r="J87" s="23">
        <v>0</v>
      </c>
      <c r="K87" s="23">
        <f>+G87*(8.5/100)</f>
        <v>0.67545666500000001</v>
      </c>
      <c r="L87" s="45">
        <v>0</v>
      </c>
      <c r="M87" s="23">
        <v>0</v>
      </c>
      <c r="N87" s="23">
        <f>+H87+K87</f>
        <v>0.71518941000000003</v>
      </c>
      <c r="O87" s="23">
        <f>+((I87+J87)+(L87+M87))</f>
        <v>0</v>
      </c>
      <c r="P87" s="23">
        <f>+N87-O87</f>
        <v>0.71518941000000003</v>
      </c>
      <c r="Q87" s="109" t="s">
        <v>19</v>
      </c>
      <c r="R87" s="26" t="s">
        <v>34</v>
      </c>
      <c r="S87" s="10" t="s">
        <v>344</v>
      </c>
    </row>
    <row r="88" spans="1:20" ht="317.10000000000002" customHeight="1" thickBot="1" x14ac:dyDescent="0.8">
      <c r="A88" s="396"/>
      <c r="B88" s="415"/>
      <c r="C88" s="415"/>
      <c r="D88" s="417"/>
      <c r="E88" s="20" t="s">
        <v>20</v>
      </c>
      <c r="F88" s="20">
        <v>1</v>
      </c>
      <c r="G88" s="21">
        <v>8.4950270000000003</v>
      </c>
      <c r="H88" s="21">
        <f t="shared" si="15"/>
        <v>4.2475135000000004E-2</v>
      </c>
      <c r="I88" s="21">
        <v>0</v>
      </c>
      <c r="J88" s="21">
        <v>0</v>
      </c>
      <c r="K88" s="21">
        <f t="shared" si="16"/>
        <v>0.72207729500000006</v>
      </c>
      <c r="L88" s="22">
        <v>0</v>
      </c>
      <c r="M88" s="21">
        <v>0</v>
      </c>
      <c r="N88" s="21">
        <f t="shared" si="13"/>
        <v>0.76455243000000006</v>
      </c>
      <c r="O88" s="21">
        <f t="shared" si="14"/>
        <v>0</v>
      </c>
      <c r="P88" s="21">
        <f t="shared" si="8"/>
        <v>0.76455243000000006</v>
      </c>
      <c r="Q88" s="109" t="s">
        <v>19</v>
      </c>
      <c r="R88" s="26" t="s">
        <v>447</v>
      </c>
      <c r="S88" s="10" t="s">
        <v>344</v>
      </c>
    </row>
    <row r="89" spans="1:20" ht="317.10000000000002" customHeight="1" thickBot="1" x14ac:dyDescent="0.8">
      <c r="A89" s="394">
        <v>40</v>
      </c>
      <c r="B89" s="414" t="s">
        <v>552</v>
      </c>
      <c r="C89" s="414" t="s">
        <v>511</v>
      </c>
      <c r="D89" s="416">
        <v>173279005475</v>
      </c>
      <c r="E89" s="20" t="s">
        <v>18</v>
      </c>
      <c r="F89" s="20">
        <v>1</v>
      </c>
      <c r="G89" s="23">
        <v>1.1424650000000001</v>
      </c>
      <c r="H89" s="23">
        <f>+G89*0.005</f>
        <v>5.7123250000000007E-3</v>
      </c>
      <c r="I89" s="23">
        <v>0</v>
      </c>
      <c r="J89" s="23">
        <v>0</v>
      </c>
      <c r="K89" s="23">
        <f>+G89*(8.5/100)</f>
        <v>9.7109525000000016E-2</v>
      </c>
      <c r="L89" s="45">
        <v>0</v>
      </c>
      <c r="M89" s="23">
        <v>0</v>
      </c>
      <c r="N89" s="23">
        <f>+H89+K89</f>
        <v>0.10282185000000002</v>
      </c>
      <c r="O89" s="23">
        <f>+((I89+J89)+(L89+M89))</f>
        <v>0</v>
      </c>
      <c r="P89" s="23">
        <f>+N89-O89</f>
        <v>0.10282185000000002</v>
      </c>
      <c r="Q89" s="109" t="s">
        <v>19</v>
      </c>
      <c r="R89" s="26" t="s">
        <v>347</v>
      </c>
      <c r="S89" s="10" t="s">
        <v>344</v>
      </c>
    </row>
    <row r="90" spans="1:20" ht="317.10000000000002" customHeight="1" thickBot="1" x14ac:dyDescent="0.8">
      <c r="A90" s="396"/>
      <c r="B90" s="415"/>
      <c r="C90" s="415"/>
      <c r="D90" s="417"/>
      <c r="E90" s="20" t="s">
        <v>20</v>
      </c>
      <c r="F90" s="20">
        <v>1.5</v>
      </c>
      <c r="G90" s="21">
        <v>13.053893</v>
      </c>
      <c r="H90" s="21">
        <f t="shared" si="15"/>
        <v>6.5269464999999999E-2</v>
      </c>
      <c r="I90" s="21">
        <v>0</v>
      </c>
      <c r="J90" s="21">
        <f>(((12+41+6)*1000)/1000000)</f>
        <v>5.8999999999999997E-2</v>
      </c>
      <c r="K90" s="21">
        <f t="shared" si="16"/>
        <v>1.1095809050000001</v>
      </c>
      <c r="L90" s="22">
        <v>0</v>
      </c>
      <c r="M90" s="21">
        <f>(((220+691+88)*1000)/1000000)</f>
        <v>0.999</v>
      </c>
      <c r="N90" s="21">
        <f t="shared" si="13"/>
        <v>1.1748503700000001</v>
      </c>
      <c r="O90" s="21">
        <f t="shared" si="14"/>
        <v>1.0580000000000001</v>
      </c>
      <c r="P90" s="21">
        <f t="shared" si="8"/>
        <v>0.11685037000000009</v>
      </c>
      <c r="Q90" s="109" t="s">
        <v>292</v>
      </c>
      <c r="R90" s="26" t="s">
        <v>386</v>
      </c>
      <c r="S90" s="10" t="s">
        <v>282</v>
      </c>
      <c r="T90" s="10" t="s">
        <v>283</v>
      </c>
    </row>
    <row r="91" spans="1:20" ht="317.10000000000002" customHeight="1" thickBot="1" x14ac:dyDescent="0.8">
      <c r="A91" s="20">
        <v>41</v>
      </c>
      <c r="B91" s="19" t="s">
        <v>553</v>
      </c>
      <c r="C91" s="19" t="s">
        <v>511</v>
      </c>
      <c r="D91" s="176">
        <v>31129021640</v>
      </c>
      <c r="E91" s="20" t="s">
        <v>20</v>
      </c>
      <c r="F91" s="20">
        <v>1</v>
      </c>
      <c r="G91" s="21">
        <v>5.1876600000000002</v>
      </c>
      <c r="H91" s="21">
        <f t="shared" si="15"/>
        <v>2.5938300000000001E-2</v>
      </c>
      <c r="I91" s="21">
        <v>0</v>
      </c>
      <c r="J91" s="21">
        <v>0</v>
      </c>
      <c r="K91" s="21">
        <f t="shared" si="16"/>
        <v>0.44095110000000004</v>
      </c>
      <c r="L91" s="22">
        <v>0</v>
      </c>
      <c r="M91" s="21">
        <v>0</v>
      </c>
      <c r="N91" s="21">
        <f t="shared" si="13"/>
        <v>0.46688940000000007</v>
      </c>
      <c r="O91" s="21">
        <f t="shared" si="14"/>
        <v>0</v>
      </c>
      <c r="P91" s="21">
        <f t="shared" si="8"/>
        <v>0.46688940000000007</v>
      </c>
      <c r="Q91" s="109" t="s">
        <v>19</v>
      </c>
      <c r="R91" s="26" t="s">
        <v>446</v>
      </c>
      <c r="S91" s="10" t="s">
        <v>344</v>
      </c>
    </row>
    <row r="92" spans="1:20" ht="317.10000000000002" customHeight="1" thickBot="1" x14ac:dyDescent="0.8">
      <c r="A92" s="20">
        <v>42</v>
      </c>
      <c r="B92" s="19" t="s">
        <v>554</v>
      </c>
      <c r="C92" s="19" t="s">
        <v>511</v>
      </c>
      <c r="D92" s="176">
        <v>173279039030</v>
      </c>
      <c r="E92" s="20" t="s">
        <v>20</v>
      </c>
      <c r="F92" s="20">
        <v>1</v>
      </c>
      <c r="G92" s="21">
        <v>7.3747499999999997</v>
      </c>
      <c r="H92" s="21">
        <f t="shared" si="15"/>
        <v>3.6873749999999997E-2</v>
      </c>
      <c r="I92" s="21">
        <v>0</v>
      </c>
      <c r="J92" s="21">
        <f>(((12+16+5)*1000)/1000000)</f>
        <v>3.3000000000000002E-2</v>
      </c>
      <c r="K92" s="21">
        <f t="shared" si="16"/>
        <v>0.62685374999999999</v>
      </c>
      <c r="L92" s="22">
        <v>0</v>
      </c>
      <c r="M92" s="21">
        <f>(((220+267+59)*1000)/1000000)</f>
        <v>0.54600000000000004</v>
      </c>
      <c r="N92" s="21">
        <f t="shared" si="13"/>
        <v>0.66372750000000003</v>
      </c>
      <c r="O92" s="21">
        <f t="shared" si="14"/>
        <v>0.57900000000000007</v>
      </c>
      <c r="P92" s="21">
        <f t="shared" si="8"/>
        <v>8.4727499999999956E-2</v>
      </c>
      <c r="Q92" s="109" t="s">
        <v>19</v>
      </c>
      <c r="R92" s="26" t="s">
        <v>386</v>
      </c>
      <c r="S92" s="10" t="s">
        <v>282</v>
      </c>
      <c r="T92" s="10" t="s">
        <v>283</v>
      </c>
    </row>
    <row r="93" spans="1:20" ht="317.10000000000002" customHeight="1" thickBot="1" x14ac:dyDescent="0.8">
      <c r="A93" s="20">
        <v>43</v>
      </c>
      <c r="B93" s="19" t="s">
        <v>555</v>
      </c>
      <c r="C93" s="19" t="s">
        <v>511</v>
      </c>
      <c r="D93" s="176">
        <v>36249007468</v>
      </c>
      <c r="E93" s="20" t="s">
        <v>20</v>
      </c>
      <c r="F93" s="20">
        <v>3.7</v>
      </c>
      <c r="G93" s="21">
        <v>12.064992</v>
      </c>
      <c r="H93" s="21">
        <f t="shared" si="15"/>
        <v>6.0324960000000004E-2</v>
      </c>
      <c r="I93" s="21">
        <v>0</v>
      </c>
      <c r="J93" s="21">
        <f>(41+12)*1000/1000000</f>
        <v>5.2999999999999999E-2</v>
      </c>
      <c r="K93" s="21">
        <f t="shared" si="16"/>
        <v>1.0255243200000002</v>
      </c>
      <c r="L93" s="22">
        <v>0</v>
      </c>
      <c r="M93" s="21">
        <f>(697+200)*1000/1000000</f>
        <v>0.89700000000000002</v>
      </c>
      <c r="N93" s="21">
        <f t="shared" si="13"/>
        <v>1.0858492800000001</v>
      </c>
      <c r="O93" s="21">
        <f t="shared" si="14"/>
        <v>0.95000000000000007</v>
      </c>
      <c r="P93" s="21">
        <f t="shared" si="8"/>
        <v>0.13584928000000007</v>
      </c>
      <c r="Q93" s="109" t="s">
        <v>284</v>
      </c>
      <c r="R93" s="26" t="s">
        <v>415</v>
      </c>
      <c r="S93" s="10" t="s">
        <v>282</v>
      </c>
      <c r="T93" s="10" t="s">
        <v>283</v>
      </c>
    </row>
    <row r="94" spans="1:20" ht="317.10000000000002" customHeight="1" thickBot="1" x14ac:dyDescent="0.8">
      <c r="A94" s="394">
        <v>44</v>
      </c>
      <c r="B94" s="414" t="s">
        <v>556</v>
      </c>
      <c r="C94" s="414" t="s">
        <v>511</v>
      </c>
      <c r="D94" s="416">
        <v>184059021013</v>
      </c>
      <c r="E94" s="20" t="s">
        <v>18</v>
      </c>
      <c r="F94" s="20">
        <v>1.5</v>
      </c>
      <c r="G94" s="23">
        <v>14.155275</v>
      </c>
      <c r="H94" s="23">
        <f>+G94*0.005</f>
        <v>7.0776375000000002E-2</v>
      </c>
      <c r="I94" s="23">
        <v>0</v>
      </c>
      <c r="J94" s="23">
        <f>(5+6+5+6+10+5+5+5+5+4+4)/1000</f>
        <v>0.06</v>
      </c>
      <c r="K94" s="23">
        <f>+G94*(8.5/100)</f>
        <v>1.2031983750000002</v>
      </c>
      <c r="L94" s="45">
        <v>0</v>
      </c>
      <c r="M94" s="23">
        <f>(79+91+95+89+171+92+83+92+79+73+76)/1000</f>
        <v>1.02</v>
      </c>
      <c r="N94" s="23">
        <f>+H94+K94</f>
        <v>1.2739747500000003</v>
      </c>
      <c r="O94" s="23">
        <f>+((I94+J94)+(L94+M94))</f>
        <v>1.08</v>
      </c>
      <c r="P94" s="23">
        <f>+N94-O94</f>
        <v>0.1939747500000002</v>
      </c>
      <c r="Q94" s="109" t="s">
        <v>284</v>
      </c>
      <c r="R94" s="26" t="s">
        <v>338</v>
      </c>
      <c r="S94" s="10" t="s">
        <v>282</v>
      </c>
      <c r="T94" s="10" t="s">
        <v>283</v>
      </c>
    </row>
    <row r="95" spans="1:20" ht="317.10000000000002" customHeight="1" thickBot="1" x14ac:dyDescent="0.8">
      <c r="A95" s="396"/>
      <c r="B95" s="415"/>
      <c r="C95" s="415"/>
      <c r="D95" s="417"/>
      <c r="E95" s="20" t="s">
        <v>20</v>
      </c>
      <c r="F95" s="20">
        <v>1.5</v>
      </c>
      <c r="G95" s="21">
        <v>13.791504</v>
      </c>
      <c r="H95" s="21">
        <f t="shared" si="15"/>
        <v>6.8957519999999994E-2</v>
      </c>
      <c r="I95" s="21">
        <v>0</v>
      </c>
      <c r="J95" s="21">
        <f>(30+23+7)*1000/1000000</f>
        <v>0.06</v>
      </c>
      <c r="K95" s="21">
        <f t="shared" si="16"/>
        <v>1.17227784</v>
      </c>
      <c r="L95" s="22">
        <v>0</v>
      </c>
      <c r="M95" s="21">
        <f>(500+413+96)*1000/1000000</f>
        <v>1.0089999999999999</v>
      </c>
      <c r="N95" s="21">
        <f t="shared" si="13"/>
        <v>1.2412353600000001</v>
      </c>
      <c r="O95" s="21">
        <f t="shared" si="14"/>
        <v>1.069</v>
      </c>
      <c r="P95" s="21">
        <f t="shared" si="8"/>
        <v>0.17223536000000017</v>
      </c>
      <c r="Q95" s="109" t="s">
        <v>292</v>
      </c>
      <c r="R95" s="26" t="s">
        <v>436</v>
      </c>
      <c r="S95" s="10" t="s">
        <v>282</v>
      </c>
      <c r="T95" s="10" t="s">
        <v>283</v>
      </c>
    </row>
    <row r="96" spans="1:20" ht="317.10000000000002" customHeight="1" thickBot="1" x14ac:dyDescent="0.8">
      <c r="A96" s="20">
        <v>45</v>
      </c>
      <c r="B96" s="19" t="s">
        <v>51</v>
      </c>
      <c r="C96" s="19" t="s">
        <v>511</v>
      </c>
      <c r="D96" s="176">
        <v>190569021870</v>
      </c>
      <c r="E96" s="20" t="s">
        <v>20</v>
      </c>
      <c r="F96" s="20">
        <v>4.99</v>
      </c>
      <c r="G96" s="21">
        <v>9.4853360000000002</v>
      </c>
      <c r="H96" s="21">
        <f t="shared" si="15"/>
        <v>4.7426679999999999E-2</v>
      </c>
      <c r="I96" s="21">
        <v>0</v>
      </c>
      <c r="J96" s="21">
        <f>(42)*1000/1000000</f>
        <v>4.2000000000000003E-2</v>
      </c>
      <c r="K96" s="21">
        <f t="shared" si="16"/>
        <v>0.80625356000000004</v>
      </c>
      <c r="L96" s="22">
        <f>(5334+15482)/1000000</f>
        <v>2.0816000000000001E-2</v>
      </c>
      <c r="M96" s="21">
        <f>(670)*1000/1000000</f>
        <v>0.67</v>
      </c>
      <c r="N96" s="21">
        <f t="shared" si="13"/>
        <v>0.85368024000000009</v>
      </c>
      <c r="O96" s="21">
        <f t="shared" si="14"/>
        <v>0.73281600000000013</v>
      </c>
      <c r="P96" s="21">
        <f t="shared" si="8"/>
        <v>0.12086423999999996</v>
      </c>
      <c r="Q96" s="109" t="s">
        <v>284</v>
      </c>
      <c r="R96" s="26" t="s">
        <v>395</v>
      </c>
      <c r="S96" s="10" t="s">
        <v>282</v>
      </c>
      <c r="T96" s="10" t="s">
        <v>283</v>
      </c>
    </row>
    <row r="97" spans="1:29" ht="317.10000000000002" customHeight="1" thickBot="1" x14ac:dyDescent="0.8">
      <c r="A97" s="20">
        <v>46</v>
      </c>
      <c r="B97" s="19" t="s">
        <v>52</v>
      </c>
      <c r="C97" s="19" t="s">
        <v>511</v>
      </c>
      <c r="D97" s="176">
        <v>190569006591</v>
      </c>
      <c r="E97" s="20" t="s">
        <v>20</v>
      </c>
      <c r="F97" s="20">
        <v>4.97</v>
      </c>
      <c r="G97" s="21">
        <v>7.5157119999999997</v>
      </c>
      <c r="H97" s="21">
        <f t="shared" si="15"/>
        <v>3.7578559999999997E-2</v>
      </c>
      <c r="I97" s="21">
        <v>0</v>
      </c>
      <c r="J97" s="21">
        <f>(35)*1000/1000000</f>
        <v>3.5000000000000003E-2</v>
      </c>
      <c r="K97" s="21">
        <f t="shared" si="16"/>
        <v>0.63883551999999999</v>
      </c>
      <c r="L97" s="22">
        <f>(8451+22636)/1000000</f>
        <v>3.1087E-2</v>
      </c>
      <c r="M97" s="21">
        <f>(520)*1000/1000000</f>
        <v>0.52</v>
      </c>
      <c r="N97" s="21">
        <f t="shared" si="13"/>
        <v>0.67641408000000003</v>
      </c>
      <c r="O97" s="21">
        <f t="shared" si="14"/>
        <v>0.58608700000000002</v>
      </c>
      <c r="P97" s="21">
        <f t="shared" si="8"/>
        <v>9.0327080000000004E-2</v>
      </c>
      <c r="Q97" s="109" t="s">
        <v>284</v>
      </c>
      <c r="R97" s="26" t="s">
        <v>395</v>
      </c>
      <c r="S97" s="10" t="s">
        <v>282</v>
      </c>
      <c r="T97" s="10" t="s">
        <v>283</v>
      </c>
    </row>
    <row r="98" spans="1:29" ht="317.10000000000002" customHeight="1" thickBot="1" x14ac:dyDescent="0.8">
      <c r="A98" s="20">
        <v>47</v>
      </c>
      <c r="B98" s="19" t="s">
        <v>53</v>
      </c>
      <c r="C98" s="19" t="s">
        <v>511</v>
      </c>
      <c r="D98" s="176">
        <v>176759054410</v>
      </c>
      <c r="E98" s="20" t="s">
        <v>20</v>
      </c>
      <c r="F98" s="20">
        <v>4.05</v>
      </c>
      <c r="G98" s="21">
        <v>11.99546</v>
      </c>
      <c r="H98" s="21">
        <f t="shared" si="15"/>
        <v>5.9977299999999997E-2</v>
      </c>
      <c r="I98" s="21">
        <v>0</v>
      </c>
      <c r="J98" s="21">
        <f>((54)*1000/1000000)</f>
        <v>5.3999999999999999E-2</v>
      </c>
      <c r="K98" s="21">
        <f t="shared" si="16"/>
        <v>1.0196141000000001</v>
      </c>
      <c r="L98" s="22">
        <v>0</v>
      </c>
      <c r="M98" s="21">
        <f>((918)*1000/1000000)</f>
        <v>0.91800000000000004</v>
      </c>
      <c r="N98" s="21">
        <f t="shared" si="13"/>
        <v>1.0795914</v>
      </c>
      <c r="O98" s="21">
        <f t="shared" si="14"/>
        <v>0.97200000000000009</v>
      </c>
      <c r="P98" s="21">
        <f t="shared" si="8"/>
        <v>0.10759139999999989</v>
      </c>
      <c r="Q98" s="109" t="s">
        <v>307</v>
      </c>
      <c r="R98" s="26" t="s">
        <v>356</v>
      </c>
      <c r="S98" s="10" t="s">
        <v>282</v>
      </c>
      <c r="T98" s="10" t="s">
        <v>283</v>
      </c>
    </row>
    <row r="99" spans="1:29" ht="317.10000000000002" customHeight="1" thickBot="1" x14ac:dyDescent="0.8">
      <c r="A99" s="394">
        <v>48</v>
      </c>
      <c r="B99" s="414" t="s">
        <v>557</v>
      </c>
      <c r="C99" s="414" t="s">
        <v>511</v>
      </c>
      <c r="D99" s="416">
        <v>490019004195</v>
      </c>
      <c r="E99" s="20" t="s">
        <v>20</v>
      </c>
      <c r="F99" s="20">
        <v>7.8</v>
      </c>
      <c r="G99" s="21">
        <v>60.877564</v>
      </c>
      <c r="H99" s="21">
        <f>+G99*0.005</f>
        <v>0.30438782000000003</v>
      </c>
      <c r="I99" s="21">
        <v>0</v>
      </c>
      <c r="J99" s="21">
        <f>(274)*1000/1000000</f>
        <v>0.27400000000000002</v>
      </c>
      <c r="K99" s="21">
        <f>+G99*(8.5/100)</f>
        <v>5.1745929400000001</v>
      </c>
      <c r="L99" s="22">
        <v>0</v>
      </c>
      <c r="M99" s="21">
        <f>(4664)*1000/1000000</f>
        <v>4.6639999999999997</v>
      </c>
      <c r="N99" s="21">
        <f>+H99+K99</f>
        <v>5.4789807599999998</v>
      </c>
      <c r="O99" s="21">
        <f>+((I99+J99)+(L99+M99))</f>
        <v>4.9379999999999997</v>
      </c>
      <c r="P99" s="21">
        <f>+N99-O99</f>
        <v>0.54098076000000006</v>
      </c>
      <c r="Q99" s="109" t="s">
        <v>284</v>
      </c>
      <c r="R99" s="26" t="s">
        <v>431</v>
      </c>
      <c r="S99" s="10" t="s">
        <v>282</v>
      </c>
      <c r="T99" s="10" t="s">
        <v>283</v>
      </c>
    </row>
    <row r="100" spans="1:29" ht="317.10000000000002" customHeight="1" thickBot="1" x14ac:dyDescent="0.8">
      <c r="A100" s="395"/>
      <c r="B100" s="418"/>
      <c r="C100" s="418"/>
      <c r="D100" s="419"/>
      <c r="E100" s="20" t="s">
        <v>21</v>
      </c>
      <c r="F100" s="20">
        <v>7.82</v>
      </c>
      <c r="G100" s="20">
        <v>39.169941000000001</v>
      </c>
      <c r="H100" s="23">
        <f>+G100*0.01</f>
        <v>0.39169941000000003</v>
      </c>
      <c r="I100" s="23">
        <v>0</v>
      </c>
      <c r="J100" s="23">
        <v>0</v>
      </c>
      <c r="K100" s="23">
        <f>+G100*(10/100)</f>
        <v>3.9169941000000001</v>
      </c>
      <c r="L100" s="45">
        <v>0</v>
      </c>
      <c r="M100" s="23">
        <v>0</v>
      </c>
      <c r="N100" s="23">
        <f t="shared" si="13"/>
        <v>4.3086935100000003</v>
      </c>
      <c r="O100" s="23">
        <f t="shared" si="14"/>
        <v>0</v>
      </c>
      <c r="P100" s="23">
        <f t="shared" si="8"/>
        <v>4.3086935100000003</v>
      </c>
      <c r="Q100" s="109" t="s">
        <v>284</v>
      </c>
      <c r="R100" s="26" t="s">
        <v>489</v>
      </c>
      <c r="S100" s="10" t="s">
        <v>344</v>
      </c>
    </row>
    <row r="101" spans="1:29" ht="317.10000000000002" customHeight="1" thickBot="1" x14ac:dyDescent="0.8">
      <c r="A101" s="396"/>
      <c r="B101" s="415"/>
      <c r="C101" s="415"/>
      <c r="D101" s="417"/>
      <c r="E101" s="58" t="s">
        <v>22</v>
      </c>
      <c r="F101" s="58">
        <v>7</v>
      </c>
      <c r="G101" s="60">
        <f>5380728/1000000</f>
        <v>5.3807280000000004</v>
      </c>
      <c r="H101" s="60">
        <f>+G101*0.02</f>
        <v>0.10761456000000001</v>
      </c>
      <c r="I101" s="60">
        <v>0</v>
      </c>
      <c r="J101" s="60">
        <v>0</v>
      </c>
      <c r="K101" s="60">
        <f>+G101*(10.5/100)</f>
        <v>0.56497644000000002</v>
      </c>
      <c r="L101" s="61">
        <v>0</v>
      </c>
      <c r="M101" s="60">
        <v>0</v>
      </c>
      <c r="N101" s="60">
        <f t="shared" si="13"/>
        <v>0.67259100000000005</v>
      </c>
      <c r="O101" s="60">
        <f t="shared" si="14"/>
        <v>0</v>
      </c>
      <c r="P101" s="60">
        <f t="shared" si="8"/>
        <v>0.67259100000000005</v>
      </c>
      <c r="Q101" s="110" t="s">
        <v>19</v>
      </c>
      <c r="R101" s="27" t="s">
        <v>54</v>
      </c>
      <c r="S101" s="7" t="s">
        <v>344</v>
      </c>
      <c r="T101" s="7"/>
      <c r="U101" s="7"/>
      <c r="V101" s="7"/>
      <c r="W101" s="7"/>
      <c r="X101" s="7"/>
      <c r="Y101" s="7"/>
      <c r="Z101" s="7"/>
      <c r="AA101" s="7"/>
      <c r="AB101" s="7"/>
      <c r="AC101" s="7"/>
    </row>
    <row r="102" spans="1:29" ht="317.10000000000002" customHeight="1" thickBot="1" x14ac:dyDescent="0.8">
      <c r="A102" s="20">
        <v>49</v>
      </c>
      <c r="B102" s="19" t="s">
        <v>558</v>
      </c>
      <c r="C102" s="19" t="s">
        <v>511</v>
      </c>
      <c r="D102" s="176">
        <v>490039044080</v>
      </c>
      <c r="E102" s="20" t="s">
        <v>20</v>
      </c>
      <c r="F102" s="20">
        <v>4</v>
      </c>
      <c r="G102" s="21">
        <v>23.520375000000001</v>
      </c>
      <c r="H102" s="21">
        <f t="shared" ref="H102:H143" si="17">+G102*0.005</f>
        <v>0.11760187500000001</v>
      </c>
      <c r="I102" s="21">
        <v>0</v>
      </c>
      <c r="J102" s="21">
        <f>(112)*1000/1000000</f>
        <v>0.112</v>
      </c>
      <c r="K102" s="21">
        <f t="shared" ref="K102:K143" si="18">+G102*(8.5/100)</f>
        <v>1.9992318750000002</v>
      </c>
      <c r="L102" s="22">
        <v>0</v>
      </c>
      <c r="M102" s="21">
        <f>(1902)*1000/1000000</f>
        <v>1.9019999999999999</v>
      </c>
      <c r="N102" s="21">
        <f t="shared" si="13"/>
        <v>2.1168337500000001</v>
      </c>
      <c r="O102" s="21">
        <f t="shared" si="14"/>
        <v>2.0139999999999998</v>
      </c>
      <c r="P102" s="21">
        <f t="shared" si="8"/>
        <v>0.10283375000000028</v>
      </c>
      <c r="Q102" s="109" t="s">
        <v>284</v>
      </c>
      <c r="R102" s="26" t="s">
        <v>431</v>
      </c>
      <c r="S102" s="10" t="s">
        <v>282</v>
      </c>
      <c r="T102" s="10" t="s">
        <v>283</v>
      </c>
    </row>
    <row r="103" spans="1:29" ht="317.10000000000002" customHeight="1" thickBot="1" x14ac:dyDescent="0.8">
      <c r="A103" s="20">
        <v>50</v>
      </c>
      <c r="B103" s="19" t="s">
        <v>559</v>
      </c>
      <c r="C103" s="19" t="s">
        <v>511</v>
      </c>
      <c r="D103" s="176">
        <v>359029004770</v>
      </c>
      <c r="E103" s="20" t="s">
        <v>20</v>
      </c>
      <c r="F103" s="20">
        <v>2.85</v>
      </c>
      <c r="G103" s="21">
        <v>12.347564999999999</v>
      </c>
      <c r="H103" s="21">
        <f t="shared" si="17"/>
        <v>6.1737824999999996E-2</v>
      </c>
      <c r="I103" s="21">
        <v>0</v>
      </c>
      <c r="J103" s="21">
        <f>((56)*1000/1000000)</f>
        <v>5.6000000000000001E-2</v>
      </c>
      <c r="K103" s="21">
        <f>+G103*(8.5/100)</f>
        <v>1.049543025</v>
      </c>
      <c r="L103" s="22">
        <v>0</v>
      </c>
      <c r="M103" s="21">
        <f>((936)*1000/1000000)</f>
        <v>0.93600000000000005</v>
      </c>
      <c r="N103" s="21">
        <f t="shared" si="13"/>
        <v>1.11128085</v>
      </c>
      <c r="O103" s="21">
        <f t="shared" si="14"/>
        <v>0.9920000000000001</v>
      </c>
      <c r="P103" s="21">
        <f t="shared" si="8"/>
        <v>0.11928084999999988</v>
      </c>
      <c r="Q103" s="109" t="s">
        <v>284</v>
      </c>
      <c r="R103" s="26" t="s">
        <v>382</v>
      </c>
      <c r="S103" s="10" t="s">
        <v>282</v>
      </c>
      <c r="T103" s="10" t="s">
        <v>283</v>
      </c>
    </row>
    <row r="104" spans="1:29" ht="317.10000000000002" customHeight="1" thickBot="1" x14ac:dyDescent="0.8">
      <c r="A104" s="20">
        <v>51</v>
      </c>
      <c r="B104" s="19" t="s">
        <v>560</v>
      </c>
      <c r="C104" s="19" t="s">
        <v>511</v>
      </c>
      <c r="D104" s="176">
        <v>284679007872</v>
      </c>
      <c r="E104" s="20" t="s">
        <v>20</v>
      </c>
      <c r="F104" s="20">
        <v>22</v>
      </c>
      <c r="G104" s="21">
        <v>3.122344</v>
      </c>
      <c r="H104" s="21">
        <f t="shared" si="17"/>
        <v>1.5611720000000001E-2</v>
      </c>
      <c r="I104" s="21">
        <v>0</v>
      </c>
      <c r="J104" s="21">
        <f>(((11+3)*1000)/1000000)</f>
        <v>1.4E-2</v>
      </c>
      <c r="K104" s="21">
        <f t="shared" si="18"/>
        <v>0.26539924000000004</v>
      </c>
      <c r="L104" s="22">
        <v>0</v>
      </c>
      <c r="M104" s="21">
        <f>(((189+48)*1000)/1000000)</f>
        <v>0.23699999999999999</v>
      </c>
      <c r="N104" s="21">
        <f t="shared" si="13"/>
        <v>0.28101096000000003</v>
      </c>
      <c r="O104" s="21">
        <f t="shared" si="14"/>
        <v>0.251</v>
      </c>
      <c r="P104" s="21">
        <f t="shared" si="8"/>
        <v>3.0010960000000031E-2</v>
      </c>
      <c r="Q104" s="109" t="s">
        <v>19</v>
      </c>
      <c r="R104" s="26" t="s">
        <v>33</v>
      </c>
      <c r="S104" s="10" t="s">
        <v>282</v>
      </c>
      <c r="T104" s="10" t="s">
        <v>283</v>
      </c>
    </row>
    <row r="105" spans="1:29" ht="317.10000000000002" customHeight="1" thickBot="1" x14ac:dyDescent="0.8">
      <c r="A105" s="394">
        <v>52</v>
      </c>
      <c r="B105" s="414" t="s">
        <v>561</v>
      </c>
      <c r="C105" s="414" t="s">
        <v>511</v>
      </c>
      <c r="D105" s="416">
        <v>36249018958</v>
      </c>
      <c r="E105" s="20" t="s">
        <v>18</v>
      </c>
      <c r="F105" s="20">
        <v>1.4</v>
      </c>
      <c r="G105" s="23">
        <v>11.853709</v>
      </c>
      <c r="H105" s="23">
        <f t="shared" si="17"/>
        <v>5.9268545000000006E-2</v>
      </c>
      <c r="I105" s="23">
        <v>0</v>
      </c>
      <c r="J105" s="23">
        <f>(4+4+3+13+4+5+3+5+5)*1000/1000000</f>
        <v>4.5999999999999999E-2</v>
      </c>
      <c r="K105" s="23">
        <f t="shared" si="18"/>
        <v>1.007565265</v>
      </c>
      <c r="L105" s="45">
        <v>0</v>
      </c>
      <c r="M105" s="23">
        <f>(70+72+56+62+214+77+73+72+73+75)*1000/1000000</f>
        <v>0.84399999999999997</v>
      </c>
      <c r="N105" s="23">
        <f t="shared" si="13"/>
        <v>1.0668338099999999</v>
      </c>
      <c r="O105" s="23">
        <f t="shared" si="14"/>
        <v>0.89</v>
      </c>
      <c r="P105" s="23">
        <f t="shared" si="8"/>
        <v>0.17683380999999987</v>
      </c>
      <c r="Q105" s="109" t="s">
        <v>284</v>
      </c>
      <c r="R105" s="26" t="s">
        <v>295</v>
      </c>
      <c r="S105" s="10" t="s">
        <v>282</v>
      </c>
      <c r="T105" s="10" t="s">
        <v>283</v>
      </c>
    </row>
    <row r="106" spans="1:29" ht="401.1" customHeight="1" thickBot="1" x14ac:dyDescent="0.8">
      <c r="A106" s="396"/>
      <c r="B106" s="415"/>
      <c r="C106" s="415"/>
      <c r="D106" s="417"/>
      <c r="E106" s="20" t="s">
        <v>20</v>
      </c>
      <c r="F106" s="20">
        <v>1.4</v>
      </c>
      <c r="G106" s="21">
        <v>12.264317</v>
      </c>
      <c r="H106" s="21">
        <f t="shared" si="17"/>
        <v>6.1321585000000005E-2</v>
      </c>
      <c r="I106" s="21">
        <v>0</v>
      </c>
      <c r="J106" s="21">
        <f>(10+6+47)*1000/1000000</f>
        <v>6.3E-2</v>
      </c>
      <c r="K106" s="21">
        <f t="shared" si="18"/>
        <v>1.0424669450000001</v>
      </c>
      <c r="L106" s="22">
        <v>0</v>
      </c>
      <c r="M106" s="21">
        <f>(156+84+804)*1000/1000000</f>
        <v>1.044</v>
      </c>
      <c r="N106" s="21">
        <f t="shared" si="13"/>
        <v>1.1037885300000001</v>
      </c>
      <c r="O106" s="21">
        <f t="shared" si="14"/>
        <v>1.107</v>
      </c>
      <c r="P106" s="21">
        <f t="shared" si="8"/>
        <v>-3.211469999999883E-3</v>
      </c>
      <c r="Q106" s="109" t="s">
        <v>284</v>
      </c>
      <c r="R106" s="26" t="s">
        <v>412</v>
      </c>
      <c r="S106" s="10" t="s">
        <v>282</v>
      </c>
      <c r="T106" s="10" t="s">
        <v>310</v>
      </c>
    </row>
    <row r="107" spans="1:29" ht="317.10000000000002" customHeight="1" thickBot="1" x14ac:dyDescent="0.8">
      <c r="A107" s="20">
        <v>98</v>
      </c>
      <c r="B107" s="19" t="s">
        <v>562</v>
      </c>
      <c r="C107" s="19" t="s">
        <v>511</v>
      </c>
      <c r="D107" s="176">
        <v>190569007392</v>
      </c>
      <c r="E107" s="20" t="s">
        <v>20</v>
      </c>
      <c r="F107" s="20">
        <v>2.48</v>
      </c>
      <c r="G107" s="21">
        <v>2.5995089999999998</v>
      </c>
      <c r="H107" s="21">
        <f t="shared" si="17"/>
        <v>1.2997544999999999E-2</v>
      </c>
      <c r="I107" s="21">
        <v>0</v>
      </c>
      <c r="J107" s="21">
        <f>((10)*1000)/1000000</f>
        <v>0.01</v>
      </c>
      <c r="K107" s="21">
        <f t="shared" si="18"/>
        <v>0.22095826500000001</v>
      </c>
      <c r="L107" s="22">
        <v>0</v>
      </c>
      <c r="M107" s="21">
        <f>((176)*1000)/1000000</f>
        <v>0.17599999999999999</v>
      </c>
      <c r="N107" s="21">
        <f t="shared" si="13"/>
        <v>0.23395581000000001</v>
      </c>
      <c r="O107" s="21">
        <f t="shared" si="14"/>
        <v>0.186</v>
      </c>
      <c r="P107" s="21">
        <f t="shared" si="8"/>
        <v>4.7955810000000015E-2</v>
      </c>
      <c r="Q107" s="109" t="s">
        <v>284</v>
      </c>
      <c r="R107" s="26" t="s">
        <v>380</v>
      </c>
      <c r="S107" s="10" t="s">
        <v>282</v>
      </c>
      <c r="T107" s="10" t="s">
        <v>283</v>
      </c>
    </row>
    <row r="108" spans="1:29" ht="317.10000000000002" customHeight="1" thickBot="1" x14ac:dyDescent="0.8">
      <c r="A108" s="20">
        <v>99</v>
      </c>
      <c r="B108" s="19" t="s">
        <v>563</v>
      </c>
      <c r="C108" s="19" t="s">
        <v>511</v>
      </c>
      <c r="D108" s="176">
        <v>490019009197</v>
      </c>
      <c r="E108" s="20" t="s">
        <v>20</v>
      </c>
      <c r="F108" s="20">
        <v>2</v>
      </c>
      <c r="G108" s="21">
        <v>7.4019519999999996</v>
      </c>
      <c r="H108" s="21">
        <f t="shared" si="17"/>
        <v>3.7009759999999996E-2</v>
      </c>
      <c r="I108" s="21">
        <v>0</v>
      </c>
      <c r="J108" s="21">
        <f>(((31)*1000)/1000000)</f>
        <v>3.1E-2</v>
      </c>
      <c r="K108" s="21">
        <f t="shared" si="18"/>
        <v>0.62916592000000005</v>
      </c>
      <c r="L108" s="22">
        <v>0</v>
      </c>
      <c r="M108" s="21">
        <f>(((515)*1000)/1000000)</f>
        <v>0.51500000000000001</v>
      </c>
      <c r="N108" s="21">
        <f t="shared" si="13"/>
        <v>0.66617568000000005</v>
      </c>
      <c r="O108" s="21">
        <f t="shared" si="14"/>
        <v>0.54600000000000004</v>
      </c>
      <c r="P108" s="21">
        <f t="shared" ref="P108:P132" si="19">+N108-O108</f>
        <v>0.12017568000000001</v>
      </c>
      <c r="Q108" s="109" t="s">
        <v>19</v>
      </c>
      <c r="R108" s="26" t="s">
        <v>55</v>
      </c>
      <c r="S108" s="10" t="s">
        <v>282</v>
      </c>
      <c r="T108" s="10" t="s">
        <v>283</v>
      </c>
    </row>
    <row r="109" spans="1:29" ht="317.10000000000002" customHeight="1" thickBot="1" x14ac:dyDescent="0.8">
      <c r="A109" s="20">
        <v>100</v>
      </c>
      <c r="B109" s="19" t="s">
        <v>564</v>
      </c>
      <c r="C109" s="19" t="s">
        <v>511</v>
      </c>
      <c r="D109" s="176">
        <v>170149025940</v>
      </c>
      <c r="E109" s="20" t="s">
        <v>20</v>
      </c>
      <c r="F109" s="20">
        <v>2</v>
      </c>
      <c r="G109" s="21">
        <v>13.046559999999999</v>
      </c>
      <c r="H109" s="21">
        <f t="shared" si="17"/>
        <v>6.5232799999999994E-2</v>
      </c>
      <c r="I109" s="21">
        <v>0</v>
      </c>
      <c r="J109" s="21">
        <v>0</v>
      </c>
      <c r="K109" s="21">
        <f t="shared" si="18"/>
        <v>1.1089576000000001</v>
      </c>
      <c r="L109" s="22">
        <v>0</v>
      </c>
      <c r="M109" s="21">
        <v>0</v>
      </c>
      <c r="N109" s="21">
        <f t="shared" si="13"/>
        <v>1.1741904000000001</v>
      </c>
      <c r="O109" s="21">
        <f t="shared" si="14"/>
        <v>0</v>
      </c>
      <c r="P109" s="21">
        <f t="shared" si="19"/>
        <v>1.1741904000000001</v>
      </c>
      <c r="Q109" s="109" t="s">
        <v>19</v>
      </c>
      <c r="R109" s="26" t="s">
        <v>449</v>
      </c>
      <c r="S109" s="10" t="s">
        <v>344</v>
      </c>
    </row>
    <row r="110" spans="1:29" ht="317.10000000000002" customHeight="1" thickBot="1" x14ac:dyDescent="0.8">
      <c r="A110" s="20">
        <v>101</v>
      </c>
      <c r="B110" s="19" t="s">
        <v>565</v>
      </c>
      <c r="C110" s="19" t="s">
        <v>511</v>
      </c>
      <c r="D110" s="176">
        <v>181739030301</v>
      </c>
      <c r="E110" s="20" t="s">
        <v>18</v>
      </c>
      <c r="F110" s="20">
        <v>1</v>
      </c>
      <c r="G110" s="23">
        <v>8.0286799999999996</v>
      </c>
      <c r="H110" s="23">
        <f>+G110*0.005</f>
        <v>4.0143399999999996E-2</v>
      </c>
      <c r="I110" s="23">
        <v>0</v>
      </c>
      <c r="J110" s="23">
        <v>0</v>
      </c>
      <c r="K110" s="23">
        <f>+G110*(8.5/100)</f>
        <v>0.68243779999999998</v>
      </c>
      <c r="L110" s="45">
        <v>0</v>
      </c>
      <c r="M110" s="23">
        <v>0</v>
      </c>
      <c r="N110" s="23">
        <f>+H110+K110</f>
        <v>0.72258120000000003</v>
      </c>
      <c r="O110" s="23">
        <f>+((I110+J110)+(L110+M110))</f>
        <v>0</v>
      </c>
      <c r="P110" s="23">
        <f>+N110-O110</f>
        <v>0.72258120000000003</v>
      </c>
      <c r="Q110" s="109" t="s">
        <v>19</v>
      </c>
      <c r="R110" s="26" t="s">
        <v>349</v>
      </c>
      <c r="S110" s="10" t="s">
        <v>344</v>
      </c>
    </row>
    <row r="111" spans="1:29" ht="317.10000000000002" customHeight="1" thickBot="1" x14ac:dyDescent="0.8">
      <c r="A111" s="20"/>
      <c r="B111" s="19"/>
      <c r="C111" s="19"/>
      <c r="D111" s="176"/>
      <c r="E111" s="20" t="s">
        <v>20</v>
      </c>
      <c r="F111" s="20">
        <v>1.5</v>
      </c>
      <c r="G111" s="21">
        <v>12.786617</v>
      </c>
      <c r="H111" s="21">
        <f t="shared" si="17"/>
        <v>6.3933085000000001E-2</v>
      </c>
      <c r="I111" s="21">
        <v>0</v>
      </c>
      <c r="J111" s="21">
        <v>0</v>
      </c>
      <c r="K111" s="21">
        <f t="shared" si="18"/>
        <v>1.086862445</v>
      </c>
      <c r="L111" s="22">
        <v>0</v>
      </c>
      <c r="M111" s="21">
        <v>0</v>
      </c>
      <c r="N111" s="21">
        <f t="shared" si="13"/>
        <v>1.1507955299999999</v>
      </c>
      <c r="O111" s="21">
        <f t="shared" si="14"/>
        <v>0</v>
      </c>
      <c r="P111" s="21">
        <f t="shared" si="19"/>
        <v>1.1507955299999999</v>
      </c>
      <c r="Q111" s="109" t="s">
        <v>19</v>
      </c>
      <c r="R111" s="26" t="s">
        <v>449</v>
      </c>
      <c r="S111" s="10" t="s">
        <v>344</v>
      </c>
    </row>
    <row r="112" spans="1:29" ht="317.10000000000002" customHeight="1" thickBot="1" x14ac:dyDescent="0.8">
      <c r="A112" s="394">
        <v>108</v>
      </c>
      <c r="B112" s="414" t="s">
        <v>568</v>
      </c>
      <c r="C112" s="414" t="s">
        <v>511</v>
      </c>
      <c r="D112" s="416">
        <v>490019001960</v>
      </c>
      <c r="E112" s="20" t="s">
        <v>18</v>
      </c>
      <c r="F112" s="20">
        <v>1</v>
      </c>
      <c r="G112" s="23">
        <v>9.7777370000000001</v>
      </c>
      <c r="H112" s="23">
        <f>+G112*0.005</f>
        <v>4.8888685000000001E-2</v>
      </c>
      <c r="I112" s="23">
        <v>0</v>
      </c>
      <c r="J112" s="23">
        <v>0</v>
      </c>
      <c r="K112" s="23">
        <f>+G112*(8.5/100)</f>
        <v>0.83110764500000012</v>
      </c>
      <c r="L112" s="45">
        <v>0</v>
      </c>
      <c r="M112" s="23">
        <v>0</v>
      </c>
      <c r="N112" s="23">
        <f>+H112+K112</f>
        <v>0.8799963300000001</v>
      </c>
      <c r="O112" s="23">
        <f>+((I112+J112)+(L112+M112))</f>
        <v>0</v>
      </c>
      <c r="P112" s="23">
        <f>+N112-O112</f>
        <v>0.8799963300000001</v>
      </c>
      <c r="Q112" s="109" t="s">
        <v>56</v>
      </c>
      <c r="R112" s="26" t="s">
        <v>346</v>
      </c>
      <c r="S112" s="10" t="s">
        <v>344</v>
      </c>
    </row>
    <row r="113" spans="1:20" ht="317.10000000000002" customHeight="1" thickBot="1" x14ac:dyDescent="0.8">
      <c r="A113" s="396"/>
      <c r="B113" s="415"/>
      <c r="C113" s="415"/>
      <c r="D113" s="417"/>
      <c r="E113" s="20" t="s">
        <v>20</v>
      </c>
      <c r="F113" s="20">
        <v>1</v>
      </c>
      <c r="G113" s="21">
        <v>7.2057440000000001</v>
      </c>
      <c r="H113" s="21">
        <f t="shared" si="17"/>
        <v>3.602872E-2</v>
      </c>
      <c r="I113" s="21">
        <v>0</v>
      </c>
      <c r="J113" s="21">
        <f>(20+8+4)*1000/1000000</f>
        <v>3.2000000000000001E-2</v>
      </c>
      <c r="K113" s="21">
        <f t="shared" si="18"/>
        <v>0.61248824000000002</v>
      </c>
      <c r="L113" s="22">
        <v>0</v>
      </c>
      <c r="M113" s="21">
        <f>(54+150+340)*1000/1000000</f>
        <v>0.54400000000000004</v>
      </c>
      <c r="N113" s="21">
        <f t="shared" si="13"/>
        <v>0.64851696000000003</v>
      </c>
      <c r="O113" s="21">
        <f t="shared" si="14"/>
        <v>0.57600000000000007</v>
      </c>
      <c r="P113" s="21">
        <f t="shared" si="19"/>
        <v>7.2516959999999964E-2</v>
      </c>
      <c r="Q113" s="109" t="s">
        <v>284</v>
      </c>
      <c r="R113" s="26" t="s">
        <v>427</v>
      </c>
      <c r="S113" s="10" t="s">
        <v>282</v>
      </c>
      <c r="T113" s="10" t="s">
        <v>283</v>
      </c>
    </row>
    <row r="114" spans="1:20" s="41" customFormat="1" ht="317.10000000000002" customHeight="1" thickBot="1" x14ac:dyDescent="0.8">
      <c r="A114" s="144">
        <v>104</v>
      </c>
      <c r="B114" s="145" t="s">
        <v>567</v>
      </c>
      <c r="C114" s="145" t="s">
        <v>511</v>
      </c>
      <c r="D114" s="188">
        <v>176089037450</v>
      </c>
      <c r="E114" s="144" t="s">
        <v>18</v>
      </c>
      <c r="F114" s="144">
        <v>1</v>
      </c>
      <c r="G114" s="146">
        <v>8.7405489999999997</v>
      </c>
      <c r="H114" s="146">
        <f t="shared" si="17"/>
        <v>4.3702745000000001E-2</v>
      </c>
      <c r="I114" s="146">
        <v>0</v>
      </c>
      <c r="J114" s="146">
        <v>0</v>
      </c>
      <c r="K114" s="146">
        <f t="shared" si="18"/>
        <v>0.74294666500000006</v>
      </c>
      <c r="L114" s="147">
        <v>0</v>
      </c>
      <c r="M114" s="146">
        <v>0</v>
      </c>
      <c r="N114" s="146">
        <f t="shared" si="13"/>
        <v>0.7866494100000001</v>
      </c>
      <c r="O114" s="146">
        <f t="shared" si="14"/>
        <v>0</v>
      </c>
      <c r="P114" s="146">
        <f t="shared" si="19"/>
        <v>0.7866494100000001</v>
      </c>
      <c r="Q114" s="113" t="s">
        <v>19</v>
      </c>
      <c r="R114" s="100" t="s">
        <v>346</v>
      </c>
      <c r="S114" s="41" t="s">
        <v>344</v>
      </c>
      <c r="T114" s="41" t="s">
        <v>350</v>
      </c>
    </row>
    <row r="115" spans="1:20" ht="317.10000000000002" customHeight="1" thickBot="1" x14ac:dyDescent="0.8">
      <c r="A115" s="20"/>
      <c r="B115" s="414" t="s">
        <v>566</v>
      </c>
      <c r="C115" s="423" t="s">
        <v>511</v>
      </c>
      <c r="D115" s="424">
        <v>176089037450</v>
      </c>
      <c r="E115" s="20" t="s">
        <v>18</v>
      </c>
      <c r="F115" s="20">
        <v>1.9</v>
      </c>
      <c r="G115" s="44">
        <v>9.465363</v>
      </c>
      <c r="H115" s="23">
        <f>+G115*0.005</f>
        <v>4.7326815000000001E-2</v>
      </c>
      <c r="I115" s="23">
        <v>0</v>
      </c>
      <c r="J115" s="23">
        <f>(4+3+4+4+6+3+3+11+3)*1000/1000000</f>
        <v>4.1000000000000002E-2</v>
      </c>
      <c r="K115" s="23">
        <f>+G115*(8.5/100)</f>
        <v>0.80455585500000004</v>
      </c>
      <c r="L115" s="45">
        <v>0</v>
      </c>
      <c r="M115" s="23">
        <f>(63+58+57+62+103+52+62+176+61)*1000/1000000</f>
        <v>0.69399999999999995</v>
      </c>
      <c r="N115" s="23">
        <f>+H115+K115</f>
        <v>0.85188267000000006</v>
      </c>
      <c r="O115" s="23">
        <f>+((I115+J115)+(L115+M115))</f>
        <v>0.73499999999999999</v>
      </c>
      <c r="P115" s="23">
        <f>+N115-O115</f>
        <v>0.11688267000000008</v>
      </c>
      <c r="Q115" s="109" t="s">
        <v>284</v>
      </c>
      <c r="R115" s="26" t="s">
        <v>324</v>
      </c>
      <c r="S115" s="10" t="s">
        <v>282</v>
      </c>
      <c r="T115" s="10" t="s">
        <v>283</v>
      </c>
    </row>
    <row r="116" spans="1:20" ht="363" customHeight="1" thickBot="1" x14ac:dyDescent="0.8">
      <c r="A116" s="20"/>
      <c r="B116" s="415"/>
      <c r="C116" s="423"/>
      <c r="D116" s="424"/>
      <c r="E116" s="20" t="s">
        <v>20</v>
      </c>
      <c r="F116" s="20">
        <v>1</v>
      </c>
      <c r="G116" s="21">
        <v>9.5615760000000005</v>
      </c>
      <c r="H116" s="21">
        <f>+G116*0.005</f>
        <v>4.7807880000000004E-2</v>
      </c>
      <c r="I116" s="21">
        <v>0</v>
      </c>
      <c r="J116" s="21">
        <v>0</v>
      </c>
      <c r="K116" s="21">
        <f>+G116*(8.5/100)</f>
        <v>0.81273396000000009</v>
      </c>
      <c r="L116" s="22">
        <v>0</v>
      </c>
      <c r="M116" s="21">
        <v>0</v>
      </c>
      <c r="N116" s="21">
        <f>+H116+K116</f>
        <v>0.86054184000000011</v>
      </c>
      <c r="O116" s="21">
        <f>+((I116+J116)+(L116+M116))</f>
        <v>0</v>
      </c>
      <c r="P116" s="21">
        <f>+N116-O116</f>
        <v>0.86054184000000011</v>
      </c>
      <c r="Q116" s="109" t="s">
        <v>19</v>
      </c>
      <c r="R116" s="26" t="s">
        <v>446</v>
      </c>
      <c r="S116" s="10" t="s">
        <v>344</v>
      </c>
    </row>
    <row r="117" spans="1:20" ht="317.10000000000002" customHeight="1" thickBot="1" x14ac:dyDescent="0.8">
      <c r="A117" s="20">
        <v>105</v>
      </c>
      <c r="B117" s="414" t="s">
        <v>569</v>
      </c>
      <c r="C117" s="414" t="s">
        <v>511</v>
      </c>
      <c r="D117" s="416">
        <v>490019040480</v>
      </c>
      <c r="E117" s="20" t="s">
        <v>18</v>
      </c>
      <c r="F117" s="20">
        <v>2.7</v>
      </c>
      <c r="G117" s="44">
        <v>5.9849370000000004</v>
      </c>
      <c r="H117" s="23">
        <f t="shared" si="17"/>
        <v>2.9924685000000003E-2</v>
      </c>
      <c r="I117" s="23">
        <v>0</v>
      </c>
      <c r="J117" s="23">
        <f>(2+9+3+3+3+4+5)/1000</f>
        <v>2.9000000000000001E-2</v>
      </c>
      <c r="K117" s="23">
        <f t="shared" si="18"/>
        <v>0.50871964500000011</v>
      </c>
      <c r="L117" s="45">
        <v>0</v>
      </c>
      <c r="M117" s="23">
        <v>0.48199999999999998</v>
      </c>
      <c r="N117" s="23">
        <f t="shared" si="13"/>
        <v>0.53864433000000012</v>
      </c>
      <c r="O117" s="23">
        <f t="shared" si="14"/>
        <v>0.51100000000000001</v>
      </c>
      <c r="P117" s="23">
        <f t="shared" si="19"/>
        <v>2.7644330000000106E-2</v>
      </c>
      <c r="Q117" s="109" t="s">
        <v>284</v>
      </c>
      <c r="R117" s="26" t="s">
        <v>337</v>
      </c>
      <c r="S117" s="10" t="s">
        <v>282</v>
      </c>
      <c r="T117" s="10" t="s">
        <v>283</v>
      </c>
    </row>
    <row r="118" spans="1:20" ht="317.10000000000002" customHeight="1" thickBot="1" x14ac:dyDescent="0.8">
      <c r="A118" s="20">
        <v>106</v>
      </c>
      <c r="B118" s="415"/>
      <c r="C118" s="415"/>
      <c r="D118" s="417"/>
      <c r="E118" s="20" t="s">
        <v>20</v>
      </c>
      <c r="F118" s="20">
        <v>1.5</v>
      </c>
      <c r="G118" s="21">
        <v>9.8612140000000004</v>
      </c>
      <c r="H118" s="21">
        <f t="shared" si="17"/>
        <v>4.930607E-2</v>
      </c>
      <c r="I118" s="21">
        <v>0</v>
      </c>
      <c r="J118" s="21">
        <f>(((20+19+5+6)*1000)/1000000)</f>
        <v>0.05</v>
      </c>
      <c r="K118" s="21">
        <f t="shared" si="18"/>
        <v>0.8382031900000001</v>
      </c>
      <c r="L118" s="22">
        <v>0</v>
      </c>
      <c r="M118" s="21">
        <f>(((340+336+64+99)*1000)/1000000)</f>
        <v>0.83899999999999997</v>
      </c>
      <c r="N118" s="21">
        <f t="shared" si="13"/>
        <v>0.88750926000000008</v>
      </c>
      <c r="O118" s="21">
        <f t="shared" si="14"/>
        <v>0.88900000000000001</v>
      </c>
      <c r="P118" s="21">
        <f t="shared" si="19"/>
        <v>-1.4907399999999349E-3</v>
      </c>
      <c r="Q118" s="109" t="s">
        <v>284</v>
      </c>
      <c r="R118" s="26" t="s">
        <v>356</v>
      </c>
      <c r="S118" s="10" t="s">
        <v>282</v>
      </c>
      <c r="T118" s="10" t="s">
        <v>310</v>
      </c>
    </row>
    <row r="119" spans="1:20" ht="377.1" customHeight="1" thickBot="1" x14ac:dyDescent="0.8">
      <c r="A119" s="20">
        <v>107</v>
      </c>
      <c r="B119" s="19" t="s">
        <v>571</v>
      </c>
      <c r="C119" s="19" t="s">
        <v>511</v>
      </c>
      <c r="D119" s="176" t="s">
        <v>570</v>
      </c>
      <c r="E119" s="20" t="s">
        <v>20</v>
      </c>
      <c r="F119" s="20">
        <v>1.5</v>
      </c>
      <c r="G119" s="21">
        <v>13.134594</v>
      </c>
      <c r="H119" s="21">
        <f t="shared" si="17"/>
        <v>6.5672969999999997E-2</v>
      </c>
      <c r="I119" s="21">
        <v>0</v>
      </c>
      <c r="J119" s="21">
        <v>0</v>
      </c>
      <c r="K119" s="21">
        <f t="shared" si="18"/>
        <v>1.11644049</v>
      </c>
      <c r="L119" s="22">
        <v>0</v>
      </c>
      <c r="M119" s="21">
        <v>0</v>
      </c>
      <c r="N119" s="21">
        <f t="shared" si="13"/>
        <v>1.1821134600000001</v>
      </c>
      <c r="O119" s="21">
        <f t="shared" si="14"/>
        <v>0</v>
      </c>
      <c r="P119" s="21">
        <f t="shared" si="19"/>
        <v>1.1821134600000001</v>
      </c>
      <c r="Q119" s="109" t="s">
        <v>19</v>
      </c>
      <c r="R119" s="26" t="s">
        <v>447</v>
      </c>
      <c r="S119" s="10" t="s">
        <v>344</v>
      </c>
    </row>
    <row r="120" spans="1:20" ht="317.10000000000002" customHeight="1" thickBot="1" x14ac:dyDescent="0.8">
      <c r="A120" s="20">
        <v>111</v>
      </c>
      <c r="B120" s="19" t="s">
        <v>572</v>
      </c>
      <c r="C120" s="19" t="s">
        <v>511</v>
      </c>
      <c r="D120" s="176">
        <v>176029035740</v>
      </c>
      <c r="E120" s="20" t="s">
        <v>20</v>
      </c>
      <c r="F120" s="20">
        <v>1.5</v>
      </c>
      <c r="G120" s="21">
        <v>12.131772</v>
      </c>
      <c r="H120" s="21">
        <f>+G120*0.005</f>
        <v>6.0658860000000002E-2</v>
      </c>
      <c r="I120" s="21">
        <v>0</v>
      </c>
      <c r="J120" s="21">
        <f>(((20+27+5+9)*1000)/1000000)</f>
        <v>6.0999999999999999E-2</v>
      </c>
      <c r="K120" s="21">
        <f>+G120*(8.5/100)</f>
        <v>1.0312006200000001</v>
      </c>
      <c r="L120" s="22">
        <v>0</v>
      </c>
      <c r="M120" s="21">
        <f>(((340+462+78+152)*1000)/1000000)</f>
        <v>1.032</v>
      </c>
      <c r="N120" s="21">
        <f>+H120+K120</f>
        <v>1.0918594800000001</v>
      </c>
      <c r="O120" s="21">
        <f>+((I120+J120)+(L120+M120))</f>
        <v>1.093</v>
      </c>
      <c r="P120" s="21">
        <f>+N120-O120</f>
        <v>-1.1405199999998672E-3</v>
      </c>
      <c r="Q120" s="109" t="s">
        <v>284</v>
      </c>
      <c r="R120" s="26" t="s">
        <v>356</v>
      </c>
      <c r="S120" s="10" t="s">
        <v>282</v>
      </c>
      <c r="T120" s="10" t="s">
        <v>310</v>
      </c>
    </row>
    <row r="121" spans="1:20" ht="317.10000000000002" customHeight="1" thickBot="1" x14ac:dyDescent="0.8">
      <c r="A121" s="20">
        <v>112</v>
      </c>
      <c r="B121" s="19" t="s">
        <v>573</v>
      </c>
      <c r="C121" s="19" t="s">
        <v>511</v>
      </c>
      <c r="D121" s="176">
        <v>184819047770</v>
      </c>
      <c r="E121" s="20" t="s">
        <v>20</v>
      </c>
      <c r="F121" s="20">
        <v>1.5</v>
      </c>
      <c r="G121" s="21">
        <v>2.1460560000000002</v>
      </c>
      <c r="H121" s="21">
        <f t="shared" si="17"/>
        <v>1.0730280000000002E-2</v>
      </c>
      <c r="I121" s="21">
        <v>0</v>
      </c>
      <c r="J121" s="21">
        <v>0</v>
      </c>
      <c r="K121" s="21">
        <f t="shared" si="18"/>
        <v>0.18241476000000004</v>
      </c>
      <c r="L121" s="22">
        <v>0</v>
      </c>
      <c r="M121" s="21">
        <v>0</v>
      </c>
      <c r="N121" s="21">
        <f t="shared" si="13"/>
        <v>0.19314504000000005</v>
      </c>
      <c r="O121" s="21">
        <f t="shared" si="14"/>
        <v>0</v>
      </c>
      <c r="P121" s="21">
        <f t="shared" si="19"/>
        <v>0.19314504000000005</v>
      </c>
      <c r="Q121" s="109" t="s">
        <v>19</v>
      </c>
      <c r="R121" s="26" t="s">
        <v>446</v>
      </c>
      <c r="S121" s="10" t="s">
        <v>344</v>
      </c>
    </row>
    <row r="122" spans="1:20" ht="317.10000000000002" customHeight="1" thickBot="1" x14ac:dyDescent="0.8">
      <c r="A122" s="20">
        <v>113</v>
      </c>
      <c r="B122" s="19" t="s">
        <v>574</v>
      </c>
      <c r="C122" s="19" t="s">
        <v>511</v>
      </c>
      <c r="D122" s="176">
        <v>49069003639</v>
      </c>
      <c r="E122" s="20" t="s">
        <v>18</v>
      </c>
      <c r="F122" s="20">
        <v>1.5</v>
      </c>
      <c r="G122" s="23">
        <v>6.1603750000000002</v>
      </c>
      <c r="H122" s="23">
        <f t="shared" si="17"/>
        <v>3.0801875000000003E-2</v>
      </c>
      <c r="I122" s="23">
        <v>0</v>
      </c>
      <c r="J122" s="23">
        <f>(18+4+6)*1000/1000000</f>
        <v>2.8000000000000001E-2</v>
      </c>
      <c r="K122" s="23">
        <f t="shared" si="18"/>
        <v>0.52363187500000008</v>
      </c>
      <c r="L122" s="45">
        <v>0</v>
      </c>
      <c r="M122" s="23">
        <f>(316+72+83)*1000/1000000</f>
        <v>0.47099999999999997</v>
      </c>
      <c r="N122" s="23">
        <f t="shared" si="13"/>
        <v>0.55443375000000006</v>
      </c>
      <c r="O122" s="23">
        <f t="shared" si="14"/>
        <v>0.499</v>
      </c>
      <c r="P122" s="23">
        <f t="shared" si="19"/>
        <v>5.5433750000000059E-2</v>
      </c>
      <c r="Q122" s="109" t="s">
        <v>277</v>
      </c>
      <c r="R122" s="26" t="s">
        <v>296</v>
      </c>
      <c r="S122" s="10" t="s">
        <v>282</v>
      </c>
      <c r="T122" s="10" t="s">
        <v>283</v>
      </c>
    </row>
    <row r="123" spans="1:20" ht="317.10000000000002" customHeight="1" thickBot="1" x14ac:dyDescent="0.8">
      <c r="A123" s="20">
        <v>114</v>
      </c>
      <c r="B123" s="19"/>
      <c r="C123" s="19"/>
      <c r="D123" s="176"/>
      <c r="E123" s="20" t="s">
        <v>20</v>
      </c>
      <c r="F123" s="20">
        <v>1.5</v>
      </c>
      <c r="G123" s="21">
        <v>11.947495</v>
      </c>
      <c r="H123" s="21">
        <f t="shared" si="17"/>
        <v>5.9737474999999998E-2</v>
      </c>
      <c r="I123" s="21">
        <v>0</v>
      </c>
      <c r="J123" s="21">
        <v>0</v>
      </c>
      <c r="K123" s="21">
        <f t="shared" si="18"/>
        <v>1.0155370750000001</v>
      </c>
      <c r="L123" s="22">
        <v>0</v>
      </c>
      <c r="M123" s="22">
        <v>0</v>
      </c>
      <c r="N123" s="21">
        <f t="shared" si="13"/>
        <v>1.0752745500000001</v>
      </c>
      <c r="O123" s="21">
        <f t="shared" si="14"/>
        <v>0</v>
      </c>
      <c r="P123" s="21">
        <f t="shared" si="19"/>
        <v>1.0752745500000001</v>
      </c>
      <c r="Q123" s="109" t="s">
        <v>284</v>
      </c>
      <c r="R123" s="26" t="s">
        <v>421</v>
      </c>
      <c r="S123" s="10" t="s">
        <v>282</v>
      </c>
      <c r="T123" s="10" t="s">
        <v>283</v>
      </c>
    </row>
    <row r="124" spans="1:20" ht="317.10000000000002" customHeight="1" thickBot="1" x14ac:dyDescent="0.8">
      <c r="A124" s="20">
        <v>120</v>
      </c>
      <c r="B124" s="19" t="s">
        <v>575</v>
      </c>
      <c r="C124" s="19" t="s">
        <v>511</v>
      </c>
      <c r="D124" s="176">
        <v>530019003890</v>
      </c>
      <c r="E124" s="20" t="s">
        <v>20</v>
      </c>
      <c r="F124" s="20">
        <v>2.2000000000000002</v>
      </c>
      <c r="G124" s="21">
        <v>14.598770999999999</v>
      </c>
      <c r="H124" s="21">
        <f t="shared" si="17"/>
        <v>7.2993854999999996E-2</v>
      </c>
      <c r="I124" s="21">
        <v>0</v>
      </c>
      <c r="J124" s="21">
        <v>0</v>
      </c>
      <c r="K124" s="21">
        <f t="shared" si="18"/>
        <v>1.2408955349999999</v>
      </c>
      <c r="L124" s="22">
        <v>0</v>
      </c>
      <c r="M124" s="21">
        <v>0</v>
      </c>
      <c r="N124" s="21">
        <f t="shared" si="13"/>
        <v>1.3138893899999999</v>
      </c>
      <c r="O124" s="21">
        <f t="shared" si="14"/>
        <v>0</v>
      </c>
      <c r="P124" s="21">
        <f t="shared" si="19"/>
        <v>1.3138893899999999</v>
      </c>
      <c r="Q124" s="109" t="s">
        <v>19</v>
      </c>
      <c r="R124" s="26" t="s">
        <v>449</v>
      </c>
      <c r="S124" s="10" t="s">
        <v>344</v>
      </c>
    </row>
    <row r="125" spans="1:20" ht="317.10000000000002" customHeight="1" thickBot="1" x14ac:dyDescent="0.8">
      <c r="A125" s="20">
        <v>121</v>
      </c>
      <c r="B125" s="19" t="s">
        <v>576</v>
      </c>
      <c r="C125" s="19" t="s">
        <v>511</v>
      </c>
      <c r="D125" s="176">
        <v>251019402510</v>
      </c>
      <c r="E125" s="20" t="s">
        <v>20</v>
      </c>
      <c r="F125" s="20">
        <v>4.9000000000000004</v>
      </c>
      <c r="G125" s="21">
        <v>19.002479999999998</v>
      </c>
      <c r="H125" s="21">
        <f t="shared" si="17"/>
        <v>9.5012399999999997E-2</v>
      </c>
      <c r="I125" s="21">
        <v>0</v>
      </c>
      <c r="J125" s="21">
        <f>(30+44+9+13)*1000/1000000</f>
        <v>9.6000000000000002E-2</v>
      </c>
      <c r="K125" s="21">
        <f t="shared" si="18"/>
        <v>1.6152108000000001</v>
      </c>
      <c r="L125" s="22">
        <v>0</v>
      </c>
      <c r="M125" s="21">
        <f>(500+762+143+211)*1000/1000000</f>
        <v>1.6160000000000001</v>
      </c>
      <c r="N125" s="21">
        <f t="shared" si="13"/>
        <v>1.7102232000000002</v>
      </c>
      <c r="O125" s="21">
        <f t="shared" si="14"/>
        <v>1.7120000000000002</v>
      </c>
      <c r="P125" s="21">
        <f t="shared" si="19"/>
        <v>-1.7768000000000228E-3</v>
      </c>
      <c r="Q125" s="109" t="s">
        <v>284</v>
      </c>
      <c r="R125" s="26" t="s">
        <v>422</v>
      </c>
      <c r="S125" s="10" t="s">
        <v>282</v>
      </c>
      <c r="T125" s="10" t="s">
        <v>310</v>
      </c>
    </row>
    <row r="126" spans="1:20" ht="317.10000000000002" customHeight="1" thickBot="1" x14ac:dyDescent="0.8">
      <c r="A126" s="20">
        <v>122</v>
      </c>
      <c r="B126" s="414" t="s">
        <v>577</v>
      </c>
      <c r="C126" s="414" t="s">
        <v>511</v>
      </c>
      <c r="D126" s="416">
        <v>36249006011</v>
      </c>
      <c r="E126" s="20" t="s">
        <v>18</v>
      </c>
      <c r="F126" s="20">
        <v>1.7</v>
      </c>
      <c r="G126" s="23">
        <v>14.897411999999999</v>
      </c>
      <c r="H126" s="23">
        <f t="shared" si="17"/>
        <v>7.4487059999999994E-2</v>
      </c>
      <c r="I126" s="23">
        <v>0</v>
      </c>
      <c r="J126" s="23">
        <f>(3+57)*1000/1000000</f>
        <v>0.06</v>
      </c>
      <c r="K126" s="23">
        <f t="shared" si="18"/>
        <v>1.26628002</v>
      </c>
      <c r="L126" s="45">
        <v>0</v>
      </c>
      <c r="M126" s="23">
        <f>((406+50+570)*1000/1000000)</f>
        <v>1.026</v>
      </c>
      <c r="N126" s="23">
        <f t="shared" si="13"/>
        <v>1.34076708</v>
      </c>
      <c r="O126" s="23">
        <f t="shared" si="14"/>
        <v>1.0860000000000001</v>
      </c>
      <c r="P126" s="23">
        <f t="shared" si="19"/>
        <v>0.25476707999999992</v>
      </c>
      <c r="Q126" s="109" t="s">
        <v>284</v>
      </c>
      <c r="R126" s="26" t="s">
        <v>303</v>
      </c>
      <c r="S126" s="10" t="s">
        <v>282</v>
      </c>
      <c r="T126" s="10" t="s">
        <v>283</v>
      </c>
    </row>
    <row r="127" spans="1:20" ht="317.10000000000002" customHeight="1" thickBot="1" x14ac:dyDescent="0.8">
      <c r="A127" s="20"/>
      <c r="B127" s="415"/>
      <c r="C127" s="415"/>
      <c r="D127" s="417"/>
      <c r="E127" s="20" t="s">
        <v>20</v>
      </c>
      <c r="F127" s="20">
        <v>1.7</v>
      </c>
      <c r="G127" s="21">
        <v>13.691433999999999</v>
      </c>
      <c r="H127" s="21">
        <f t="shared" si="17"/>
        <v>6.8457169999999998E-2</v>
      </c>
      <c r="I127" s="21">
        <v>0</v>
      </c>
      <c r="J127" s="21">
        <v>0</v>
      </c>
      <c r="K127" s="21">
        <f t="shared" si="18"/>
        <v>1.16377189</v>
      </c>
      <c r="L127" s="22">
        <v>0</v>
      </c>
      <c r="M127" s="21">
        <v>0</v>
      </c>
      <c r="N127" s="21">
        <f t="shared" si="13"/>
        <v>1.2322290600000001</v>
      </c>
      <c r="O127" s="21">
        <f t="shared" si="14"/>
        <v>0</v>
      </c>
      <c r="P127" s="21">
        <f t="shared" si="19"/>
        <v>1.2322290600000001</v>
      </c>
      <c r="Q127" s="109" t="s">
        <v>19</v>
      </c>
      <c r="R127" s="26" t="s">
        <v>449</v>
      </c>
      <c r="S127" s="10" t="s">
        <v>344</v>
      </c>
    </row>
    <row r="128" spans="1:20" ht="317.10000000000002" customHeight="1" thickBot="1" x14ac:dyDescent="0.8">
      <c r="A128" s="20">
        <v>124</v>
      </c>
      <c r="B128" s="19" t="s">
        <v>578</v>
      </c>
      <c r="C128" s="19" t="s">
        <v>511</v>
      </c>
      <c r="D128" s="176">
        <v>162019001377</v>
      </c>
      <c r="E128" s="20" t="s">
        <v>20</v>
      </c>
      <c r="F128" s="20">
        <v>1.2</v>
      </c>
      <c r="G128" s="21">
        <v>8.2120470000000001</v>
      </c>
      <c r="H128" s="21">
        <f t="shared" si="17"/>
        <v>4.1060235E-2</v>
      </c>
      <c r="I128" s="21">
        <v>0</v>
      </c>
      <c r="J128" s="21">
        <f>((15+10+7+5+5)*1000)/1000000</f>
        <v>4.2000000000000003E-2</v>
      </c>
      <c r="K128" s="21">
        <f t="shared" si="18"/>
        <v>0.69802399500000001</v>
      </c>
      <c r="L128" s="22">
        <v>0</v>
      </c>
      <c r="M128" s="21">
        <f>((64+120+179+256+80)*1000)/1000000</f>
        <v>0.69899999999999995</v>
      </c>
      <c r="N128" s="21">
        <f t="shared" si="13"/>
        <v>0.73908423000000001</v>
      </c>
      <c r="O128" s="21">
        <f t="shared" si="14"/>
        <v>0.74099999999999999</v>
      </c>
      <c r="P128" s="21">
        <f t="shared" si="19"/>
        <v>-1.9157699999999833E-3</v>
      </c>
      <c r="Q128" s="109" t="s">
        <v>284</v>
      </c>
      <c r="R128" s="26" t="s">
        <v>370</v>
      </c>
      <c r="S128" s="10" t="s">
        <v>282</v>
      </c>
      <c r="T128" s="10" t="s">
        <v>310</v>
      </c>
    </row>
    <row r="129" spans="1:29" ht="317.10000000000002" customHeight="1" thickBot="1" x14ac:dyDescent="0.8">
      <c r="A129" s="20">
        <v>125</v>
      </c>
      <c r="B129" s="414" t="s">
        <v>579</v>
      </c>
      <c r="C129" s="414" t="s">
        <v>511</v>
      </c>
      <c r="D129" s="416">
        <v>170149001991</v>
      </c>
      <c r="E129" s="20" t="s">
        <v>18</v>
      </c>
      <c r="F129" s="20">
        <v>1.5</v>
      </c>
      <c r="G129" s="23">
        <v>6.4319389999999999</v>
      </c>
      <c r="H129" s="23">
        <f>+G129*0.005</f>
        <v>3.2159695000000002E-2</v>
      </c>
      <c r="I129" s="23">
        <v>0</v>
      </c>
      <c r="J129" s="23">
        <f>(22+6)*1000/1000000</f>
        <v>2.8000000000000001E-2</v>
      </c>
      <c r="K129" s="23">
        <f>+G129*(8.5/100)</f>
        <v>0.54671481500000008</v>
      </c>
      <c r="L129" s="45">
        <v>0</v>
      </c>
      <c r="M129" s="23">
        <f>(390+72)*1000/1000000</f>
        <v>0.46200000000000002</v>
      </c>
      <c r="N129" s="23">
        <f>+H129+K129</f>
        <v>0.57887451000000012</v>
      </c>
      <c r="O129" s="23">
        <f>+((I129+J129)+(L129+M129))</f>
        <v>0.49000000000000005</v>
      </c>
      <c r="P129" s="23">
        <f>+N129-O129</f>
        <v>8.8874510000000073E-2</v>
      </c>
      <c r="Q129" s="109" t="s">
        <v>277</v>
      </c>
      <c r="R129" s="26" t="s">
        <v>302</v>
      </c>
      <c r="S129" s="10" t="s">
        <v>282</v>
      </c>
      <c r="T129" s="10" t="s">
        <v>283</v>
      </c>
    </row>
    <row r="130" spans="1:29" ht="317.10000000000002" customHeight="1" thickBot="1" x14ac:dyDescent="0.8">
      <c r="A130" s="20"/>
      <c r="B130" s="415"/>
      <c r="C130" s="415"/>
      <c r="D130" s="417"/>
      <c r="E130" s="20" t="s">
        <v>20</v>
      </c>
      <c r="F130" s="20">
        <v>2</v>
      </c>
      <c r="G130" s="21">
        <v>16.952715999999999</v>
      </c>
      <c r="H130" s="21">
        <f t="shared" si="17"/>
        <v>8.4763579999999991E-2</v>
      </c>
      <c r="I130" s="21">
        <v>0</v>
      </c>
      <c r="J130" s="21">
        <f>(4+6+6+7+5+7+12+19+7+13)*1000/1000000</f>
        <v>8.5999999999999993E-2</v>
      </c>
      <c r="K130" s="21">
        <f t="shared" si="18"/>
        <v>1.44098086</v>
      </c>
      <c r="L130" s="22">
        <v>0</v>
      </c>
      <c r="M130" s="21">
        <f>(207+112+324+199+108+91+113+106+108+74)*1000/1000000</f>
        <v>1.4419999999999999</v>
      </c>
      <c r="N130" s="21">
        <f t="shared" si="13"/>
        <v>1.52574444</v>
      </c>
      <c r="O130" s="21">
        <f t="shared" si="14"/>
        <v>1.528</v>
      </c>
      <c r="P130" s="21">
        <f t="shared" si="19"/>
        <v>-2.2555600000000453E-3</v>
      </c>
      <c r="Q130" s="109" t="s">
        <v>284</v>
      </c>
      <c r="R130" s="26" t="s">
        <v>355</v>
      </c>
      <c r="S130" s="10" t="s">
        <v>282</v>
      </c>
      <c r="T130" s="10" t="s">
        <v>310</v>
      </c>
    </row>
    <row r="131" spans="1:29" ht="317.10000000000002" customHeight="1" thickBot="1" x14ac:dyDescent="0.8">
      <c r="A131" s="20">
        <v>127</v>
      </c>
      <c r="B131" s="414" t="s">
        <v>580</v>
      </c>
      <c r="C131" s="414" t="s">
        <v>511</v>
      </c>
      <c r="D131" s="416">
        <v>28619020181</v>
      </c>
      <c r="E131" s="20" t="s">
        <v>18</v>
      </c>
      <c r="F131" s="20">
        <v>1.5</v>
      </c>
      <c r="G131" s="23">
        <v>10.566129</v>
      </c>
      <c r="H131" s="23">
        <f>+G131*0.005</f>
        <v>5.2830645000000002E-2</v>
      </c>
      <c r="I131" s="23">
        <v>0</v>
      </c>
      <c r="J131" s="23">
        <f>(5+5+10+5+4+5+5+7)*1000/1000000</f>
        <v>4.5999999999999999E-2</v>
      </c>
      <c r="K131" s="23">
        <f>+G131*(8.5/100)</f>
        <v>0.89812096500000005</v>
      </c>
      <c r="L131" s="45">
        <v>0</v>
      </c>
      <c r="M131" s="23">
        <f>(89+83+172+87+69+93+84+94)*1000/1000000</f>
        <v>0.77100000000000002</v>
      </c>
      <c r="N131" s="23">
        <f>+H131+K131</f>
        <v>0.95095161000000006</v>
      </c>
      <c r="O131" s="23">
        <f>+((I131+J131)+(L131+M131))</f>
        <v>0.81700000000000006</v>
      </c>
      <c r="P131" s="23">
        <f>+N131-O131</f>
        <v>0.13395161</v>
      </c>
      <c r="Q131" s="109" t="s">
        <v>284</v>
      </c>
      <c r="R131" s="26" t="s">
        <v>285</v>
      </c>
      <c r="S131" s="30" t="s">
        <v>282</v>
      </c>
      <c r="T131" s="30" t="s">
        <v>283</v>
      </c>
      <c r="U131" s="30"/>
      <c r="V131" s="30"/>
      <c r="W131" s="30"/>
      <c r="X131" s="30"/>
      <c r="Y131" s="30"/>
      <c r="Z131" s="30"/>
      <c r="AA131" s="30"/>
      <c r="AB131" s="30"/>
      <c r="AC131" s="30"/>
    </row>
    <row r="132" spans="1:29" ht="317.10000000000002" customHeight="1" thickBot="1" x14ac:dyDescent="0.8">
      <c r="A132" s="20"/>
      <c r="B132" s="415"/>
      <c r="C132" s="415"/>
      <c r="D132" s="417"/>
      <c r="E132" s="20" t="s">
        <v>20</v>
      </c>
      <c r="F132" s="20">
        <v>1.5</v>
      </c>
      <c r="G132" s="21">
        <v>17.320108000000001</v>
      </c>
      <c r="H132" s="21">
        <f t="shared" si="17"/>
        <v>8.6600540000000004E-2</v>
      </c>
      <c r="I132" s="21">
        <v>0</v>
      </c>
      <c r="J132" s="21">
        <f>((7+12+19+6+7+6+6+6+6)*1000)/1000000</f>
        <v>7.4999999999999997E-2</v>
      </c>
      <c r="K132" s="21">
        <f t="shared" si="18"/>
        <v>1.4722091800000001</v>
      </c>
      <c r="L132" s="22">
        <v>0</v>
      </c>
      <c r="M132" s="21">
        <f>((108+208+320+103+108+109+102+107+106)*1000)/1000000</f>
        <v>1.2709999999999999</v>
      </c>
      <c r="N132" s="21">
        <f t="shared" si="13"/>
        <v>1.5588097200000002</v>
      </c>
      <c r="O132" s="21">
        <f t="shared" si="14"/>
        <v>1.3459999999999999</v>
      </c>
      <c r="P132" s="21">
        <f t="shared" si="19"/>
        <v>0.21280972000000031</v>
      </c>
      <c r="Q132" s="109" t="s">
        <v>284</v>
      </c>
      <c r="R132" s="26" t="s">
        <v>400</v>
      </c>
      <c r="S132" s="10" t="s">
        <v>282</v>
      </c>
      <c r="T132" s="10" t="s">
        <v>283</v>
      </c>
    </row>
    <row r="133" spans="1:29" ht="317.10000000000002" customHeight="1" thickBot="1" x14ac:dyDescent="0.8">
      <c r="A133" s="20">
        <v>129</v>
      </c>
      <c r="B133" s="414" t="s">
        <v>59</v>
      </c>
      <c r="C133" s="414" t="s">
        <v>511</v>
      </c>
      <c r="D133" s="416">
        <v>181209042640</v>
      </c>
      <c r="E133" s="20" t="s">
        <v>18</v>
      </c>
      <c r="F133" s="20">
        <v>2.7</v>
      </c>
      <c r="G133" s="23">
        <v>16.588861999999999</v>
      </c>
      <c r="H133" s="23">
        <f>+G133*0.005</f>
        <v>8.2944309999999993E-2</v>
      </c>
      <c r="I133" s="23">
        <v>0</v>
      </c>
      <c r="J133" s="23">
        <v>0</v>
      </c>
      <c r="K133" s="23">
        <f>+G133*(8.5/100)</f>
        <v>1.4100532699999999</v>
      </c>
      <c r="L133" s="45">
        <v>0</v>
      </c>
      <c r="M133" s="23">
        <v>0</v>
      </c>
      <c r="N133" s="23">
        <f>+H133+K133</f>
        <v>1.4929975799999999</v>
      </c>
      <c r="O133" s="23">
        <f>+((I133+J133)+(L133+M133))</f>
        <v>0</v>
      </c>
      <c r="P133" s="23">
        <f>+N133-O133</f>
        <v>1.4929975799999999</v>
      </c>
      <c r="Q133" s="109" t="s">
        <v>19</v>
      </c>
      <c r="R133" s="26" t="s">
        <v>346</v>
      </c>
      <c r="S133" s="10" t="s">
        <v>344</v>
      </c>
    </row>
    <row r="134" spans="1:29" ht="317.10000000000002" customHeight="1" thickBot="1" x14ac:dyDescent="0.8">
      <c r="A134" s="20"/>
      <c r="B134" s="415"/>
      <c r="C134" s="415"/>
      <c r="D134" s="417"/>
      <c r="E134" s="20" t="s">
        <v>20</v>
      </c>
      <c r="F134" s="20">
        <v>2.75</v>
      </c>
      <c r="G134" s="21">
        <v>18.440054</v>
      </c>
      <c r="H134" s="21">
        <f t="shared" si="17"/>
        <v>9.2200270000000001E-2</v>
      </c>
      <c r="I134" s="21">
        <v>0</v>
      </c>
      <c r="J134" s="21">
        <v>0</v>
      </c>
      <c r="K134" s="21">
        <f t="shared" si="18"/>
        <v>1.5674045900000002</v>
      </c>
      <c r="L134" s="22">
        <v>0</v>
      </c>
      <c r="M134" s="21">
        <v>0</v>
      </c>
      <c r="N134" s="21">
        <f t="shared" ref="N134:N196" si="20">+H134+K134</f>
        <v>1.6596048600000002</v>
      </c>
      <c r="O134" s="21">
        <f t="shared" si="14"/>
        <v>0</v>
      </c>
      <c r="P134" s="21">
        <f t="shared" ref="P134:P163" si="21">+N134-O134</f>
        <v>1.6596048600000002</v>
      </c>
      <c r="Q134" s="109" t="s">
        <v>19</v>
      </c>
      <c r="R134" s="26" t="s">
        <v>449</v>
      </c>
      <c r="S134" s="10" t="s">
        <v>344</v>
      </c>
    </row>
    <row r="135" spans="1:29" ht="317.10000000000002" customHeight="1" thickBot="1" x14ac:dyDescent="0.8">
      <c r="A135" s="20">
        <v>131</v>
      </c>
      <c r="B135" s="19" t="s">
        <v>60</v>
      </c>
      <c r="C135" s="19" t="s">
        <v>511</v>
      </c>
      <c r="D135" s="176">
        <v>28619021110</v>
      </c>
      <c r="E135" s="20" t="s">
        <v>18</v>
      </c>
      <c r="F135" s="20">
        <v>1</v>
      </c>
      <c r="G135" s="23">
        <v>9.7448429999999995</v>
      </c>
      <c r="H135" s="23">
        <f>+G135*0.005</f>
        <v>4.8724215000000001E-2</v>
      </c>
      <c r="I135" s="23">
        <v>0</v>
      </c>
      <c r="J135" s="23">
        <f>(3+4+3+4+3+7+3+4+4+3+4)*1000/1000000</f>
        <v>4.2000000000000003E-2</v>
      </c>
      <c r="K135" s="23">
        <f>+G135*(8.5/100)</f>
        <v>0.82831165500000004</v>
      </c>
      <c r="L135" s="45">
        <v>0</v>
      </c>
      <c r="M135" s="23">
        <f>(61+61+61+63+57+111+60+63+60+56+60)*1000/1000000</f>
        <v>0.71299999999999997</v>
      </c>
      <c r="N135" s="23">
        <f>+H135+K135</f>
        <v>0.87703587000000005</v>
      </c>
      <c r="O135" s="23">
        <f>+((I135+J135)+(L135+M135))</f>
        <v>0.755</v>
      </c>
      <c r="P135" s="23">
        <f>+N135-O135</f>
        <v>0.12203587000000005</v>
      </c>
      <c r="Q135" s="109" t="s">
        <v>277</v>
      </c>
      <c r="R135" s="26" t="s">
        <v>296</v>
      </c>
      <c r="S135" s="10" t="s">
        <v>282</v>
      </c>
      <c r="T135" s="10" t="s">
        <v>283</v>
      </c>
    </row>
    <row r="136" spans="1:29" ht="345" customHeight="1" thickBot="1" x14ac:dyDescent="0.8">
      <c r="A136" s="20"/>
      <c r="B136" s="19"/>
      <c r="C136" s="19"/>
      <c r="D136" s="176"/>
      <c r="E136" s="20" t="s">
        <v>20</v>
      </c>
      <c r="F136" s="20">
        <v>1</v>
      </c>
      <c r="G136" s="21">
        <v>10.523432</v>
      </c>
      <c r="H136" s="21">
        <f t="shared" si="17"/>
        <v>5.2617159999999996E-2</v>
      </c>
      <c r="I136" s="21">
        <v>0</v>
      </c>
      <c r="J136" s="21">
        <f>((34+7+5)*1000)/1000000</f>
        <v>4.5999999999999999E-2</v>
      </c>
      <c r="K136" s="21">
        <f t="shared" si="18"/>
        <v>0.89449171999999999</v>
      </c>
      <c r="L136" s="22">
        <v>0</v>
      </c>
      <c r="M136" s="21">
        <f>((586+127+59)*1000)/1000000</f>
        <v>0.77200000000000002</v>
      </c>
      <c r="N136" s="21">
        <f t="shared" si="20"/>
        <v>0.94710888000000004</v>
      </c>
      <c r="O136" s="21">
        <f t="shared" si="14"/>
        <v>0.81800000000000006</v>
      </c>
      <c r="P136" s="21">
        <f t="shared" si="21"/>
        <v>0.12910887999999998</v>
      </c>
      <c r="Q136" s="109" t="s">
        <v>284</v>
      </c>
      <c r="R136" s="26" t="s">
        <v>358</v>
      </c>
      <c r="S136" s="10" t="s">
        <v>282</v>
      </c>
      <c r="T136" s="10" t="s">
        <v>283</v>
      </c>
      <c r="U136" s="10" t="s">
        <v>359</v>
      </c>
    </row>
    <row r="137" spans="1:29" ht="317.10000000000002" customHeight="1" thickBot="1" x14ac:dyDescent="0.8">
      <c r="A137" s="20">
        <v>133</v>
      </c>
      <c r="B137" s="414" t="s">
        <v>581</v>
      </c>
      <c r="C137" s="414" t="s">
        <v>511</v>
      </c>
      <c r="D137" s="416">
        <v>170149002661</v>
      </c>
      <c r="E137" s="20" t="s">
        <v>18</v>
      </c>
      <c r="F137" s="20">
        <v>1</v>
      </c>
      <c r="G137" s="23">
        <v>1.52251</v>
      </c>
      <c r="H137" s="23">
        <f t="shared" si="17"/>
        <v>7.61255E-3</v>
      </c>
      <c r="I137" s="23">
        <v>0</v>
      </c>
      <c r="J137" s="23">
        <v>0</v>
      </c>
      <c r="K137" s="23">
        <f t="shared" si="18"/>
        <v>0.12941335000000001</v>
      </c>
      <c r="L137" s="45">
        <v>0</v>
      </c>
      <c r="M137" s="23">
        <v>0</v>
      </c>
      <c r="N137" s="23">
        <f t="shared" si="20"/>
        <v>0.13702590000000001</v>
      </c>
      <c r="O137" s="23">
        <f t="shared" si="14"/>
        <v>0</v>
      </c>
      <c r="P137" s="23">
        <f t="shared" si="21"/>
        <v>0.13702590000000001</v>
      </c>
      <c r="Q137" s="109" t="s">
        <v>19</v>
      </c>
      <c r="R137" s="26" t="s">
        <v>346</v>
      </c>
      <c r="S137" s="10" t="s">
        <v>344</v>
      </c>
    </row>
    <row r="138" spans="1:29" ht="317.10000000000002" customHeight="1" thickBot="1" x14ac:dyDescent="0.8">
      <c r="A138" s="20"/>
      <c r="B138" s="415"/>
      <c r="C138" s="415"/>
      <c r="D138" s="417"/>
      <c r="E138" s="20" t="s">
        <v>20</v>
      </c>
      <c r="F138" s="20">
        <v>2.16</v>
      </c>
      <c r="G138" s="21">
        <v>9.8680679999999992</v>
      </c>
      <c r="H138" s="21">
        <f>+G138*0.005</f>
        <v>4.9340339999999996E-2</v>
      </c>
      <c r="I138" s="21">
        <v>0</v>
      </c>
      <c r="J138" s="21">
        <f>(50)*1000/1000000</f>
        <v>0.05</v>
      </c>
      <c r="K138" s="21">
        <f>+G138*(8.5/100)</f>
        <v>0.83878578000000004</v>
      </c>
      <c r="L138" s="22">
        <v>0</v>
      </c>
      <c r="M138" s="21">
        <f>(825)*1000/1000000</f>
        <v>0.82499999999999996</v>
      </c>
      <c r="N138" s="21">
        <f>+H138+K138</f>
        <v>0.88812612000000002</v>
      </c>
      <c r="O138" s="21">
        <f>+((I138+J138)+(L138+M138))</f>
        <v>0.875</v>
      </c>
      <c r="P138" s="21">
        <f>+N138-O138</f>
        <v>1.3126120000000019E-2</v>
      </c>
      <c r="Q138" s="109" t="s">
        <v>284</v>
      </c>
      <c r="R138" s="26" t="s">
        <v>414</v>
      </c>
      <c r="S138" s="10" t="s">
        <v>282</v>
      </c>
      <c r="T138" s="10" t="s">
        <v>283</v>
      </c>
    </row>
    <row r="139" spans="1:29" ht="317.10000000000002" customHeight="1" thickBot="1" x14ac:dyDescent="0.8">
      <c r="A139" s="20">
        <v>135</v>
      </c>
      <c r="B139" s="414" t="s">
        <v>582</v>
      </c>
      <c r="C139" s="414" t="s">
        <v>511</v>
      </c>
      <c r="D139" s="416">
        <v>193019007441</v>
      </c>
      <c r="E139" s="20" t="s">
        <v>18</v>
      </c>
      <c r="F139" s="20">
        <v>1.8</v>
      </c>
      <c r="G139" s="23">
        <v>1.287768</v>
      </c>
      <c r="H139" s="23">
        <f>+G139*0.005</f>
        <v>6.4388400000000004E-3</v>
      </c>
      <c r="I139" s="23">
        <v>0</v>
      </c>
      <c r="J139" s="23">
        <v>0</v>
      </c>
      <c r="K139" s="23">
        <f>+G139*(8.5/100)</f>
        <v>0.10946028000000001</v>
      </c>
      <c r="L139" s="45">
        <v>0</v>
      </c>
      <c r="M139" s="23">
        <v>0</v>
      </c>
      <c r="N139" s="23">
        <f>+H139+K139</f>
        <v>0.11589912000000001</v>
      </c>
      <c r="O139" s="23">
        <f>+((I139+J139)+(L139+M139))</f>
        <v>0</v>
      </c>
      <c r="P139" s="23">
        <f>+N139-O139</f>
        <v>0.11589912000000001</v>
      </c>
      <c r="Q139" s="109" t="s">
        <v>19</v>
      </c>
      <c r="R139" s="26" t="s">
        <v>346</v>
      </c>
      <c r="S139" s="10" t="s">
        <v>344</v>
      </c>
    </row>
    <row r="140" spans="1:29" ht="317.10000000000002" customHeight="1" thickBot="1" x14ac:dyDescent="0.8">
      <c r="A140" s="20"/>
      <c r="B140" s="415"/>
      <c r="C140" s="415"/>
      <c r="D140" s="417"/>
      <c r="E140" s="20" t="s">
        <v>20</v>
      </c>
      <c r="F140" s="20">
        <v>3</v>
      </c>
      <c r="G140" s="21">
        <v>15.647057999999999</v>
      </c>
      <c r="H140" s="21">
        <f t="shared" si="17"/>
        <v>7.8235289999999999E-2</v>
      </c>
      <c r="I140" s="21">
        <v>0</v>
      </c>
      <c r="J140" s="21">
        <f>(80)*1000/1000000</f>
        <v>0.08</v>
      </c>
      <c r="K140" s="21">
        <f t="shared" si="18"/>
        <v>1.3299999300000001</v>
      </c>
      <c r="L140" s="22">
        <v>0</v>
      </c>
      <c r="M140" s="21">
        <f>(1345)*1000/1000000</f>
        <v>1.345</v>
      </c>
      <c r="N140" s="21">
        <f t="shared" si="20"/>
        <v>1.4082352200000001</v>
      </c>
      <c r="O140" s="21">
        <f t="shared" si="14"/>
        <v>1.425</v>
      </c>
      <c r="P140" s="21">
        <f t="shared" si="21"/>
        <v>-1.6764779999999924E-2</v>
      </c>
      <c r="Q140" s="109" t="s">
        <v>284</v>
      </c>
      <c r="R140" s="26" t="s">
        <v>414</v>
      </c>
      <c r="S140" s="10" t="s">
        <v>282</v>
      </c>
      <c r="T140" s="10" t="s">
        <v>310</v>
      </c>
    </row>
    <row r="141" spans="1:29" ht="317.10000000000002" customHeight="1" thickBot="1" x14ac:dyDescent="0.8">
      <c r="A141" s="20">
        <v>137</v>
      </c>
      <c r="B141" s="19" t="s">
        <v>583</v>
      </c>
      <c r="C141" s="19" t="s">
        <v>511</v>
      </c>
      <c r="D141" s="176">
        <v>20129003287</v>
      </c>
      <c r="E141" s="20" t="s">
        <v>20</v>
      </c>
      <c r="F141" s="20">
        <v>3.5</v>
      </c>
      <c r="G141" s="21">
        <v>1.91648</v>
      </c>
      <c r="H141" s="21">
        <f t="shared" si="17"/>
        <v>9.5823999999999996E-3</v>
      </c>
      <c r="I141" s="21">
        <v>0</v>
      </c>
      <c r="J141" s="21">
        <f>(7+2)*1000/1000000</f>
        <v>8.9999999999999993E-3</v>
      </c>
      <c r="K141" s="21">
        <f t="shared" si="18"/>
        <v>0.16290080000000001</v>
      </c>
      <c r="L141" s="22">
        <v>0</v>
      </c>
      <c r="M141" s="21">
        <f>(101+40)*1000/1000000</f>
        <v>0.14099999999999999</v>
      </c>
      <c r="N141" s="21">
        <f t="shared" si="20"/>
        <v>0.1724832</v>
      </c>
      <c r="O141" s="21">
        <f t="shared" si="14"/>
        <v>0.15</v>
      </c>
      <c r="P141" s="21">
        <f t="shared" si="21"/>
        <v>2.2483200000000009E-2</v>
      </c>
      <c r="Q141" s="109" t="s">
        <v>284</v>
      </c>
      <c r="R141" s="26" t="s">
        <v>414</v>
      </c>
      <c r="S141" s="10" t="s">
        <v>282</v>
      </c>
      <c r="T141" s="10" t="s">
        <v>283</v>
      </c>
    </row>
    <row r="142" spans="1:29" ht="408.95" customHeight="1" thickBot="1" x14ac:dyDescent="0.8">
      <c r="A142" s="20">
        <v>138</v>
      </c>
      <c r="B142" s="19" t="s">
        <v>584</v>
      </c>
      <c r="C142" s="19" t="s">
        <v>511</v>
      </c>
      <c r="D142" s="176">
        <v>510019000140</v>
      </c>
      <c r="E142" s="20" t="s">
        <v>20</v>
      </c>
      <c r="F142" s="20">
        <v>2.7</v>
      </c>
      <c r="G142" s="21">
        <v>23.060687999999999</v>
      </c>
      <c r="H142" s="21">
        <f t="shared" si="17"/>
        <v>0.11530343999999999</v>
      </c>
      <c r="I142" s="21">
        <v>0</v>
      </c>
      <c r="J142" s="21">
        <v>0</v>
      </c>
      <c r="K142" s="21">
        <f t="shared" si="18"/>
        <v>1.96015848</v>
      </c>
      <c r="L142" s="22">
        <v>0</v>
      </c>
      <c r="M142" s="21">
        <v>0</v>
      </c>
      <c r="N142" s="21">
        <f t="shared" si="20"/>
        <v>2.07546192</v>
      </c>
      <c r="O142" s="21">
        <f t="shared" si="14"/>
        <v>0</v>
      </c>
      <c r="P142" s="21">
        <f t="shared" si="21"/>
        <v>2.07546192</v>
      </c>
      <c r="Q142" s="109" t="s">
        <v>19</v>
      </c>
      <c r="R142" s="26" t="s">
        <v>449</v>
      </c>
      <c r="S142" s="10" t="s">
        <v>344</v>
      </c>
    </row>
    <row r="143" spans="1:29" ht="377.1" customHeight="1" thickBot="1" x14ac:dyDescent="0.8">
      <c r="A143" s="20">
        <v>139</v>
      </c>
      <c r="B143" s="19" t="s">
        <v>585</v>
      </c>
      <c r="C143" s="19" t="s">
        <v>511</v>
      </c>
      <c r="D143" s="176">
        <v>510019005920</v>
      </c>
      <c r="E143" s="20" t="s">
        <v>20</v>
      </c>
      <c r="F143" s="20">
        <v>2.6</v>
      </c>
      <c r="G143" s="21">
        <v>23.353238000000001</v>
      </c>
      <c r="H143" s="21">
        <f t="shared" si="17"/>
        <v>0.11676619000000001</v>
      </c>
      <c r="I143" s="21">
        <v>0</v>
      </c>
      <c r="J143" s="21">
        <v>0</v>
      </c>
      <c r="K143" s="21">
        <f t="shared" si="18"/>
        <v>1.9850252300000002</v>
      </c>
      <c r="L143" s="22">
        <v>0</v>
      </c>
      <c r="M143" s="21">
        <v>0</v>
      </c>
      <c r="N143" s="21">
        <f t="shared" si="20"/>
        <v>2.1017914200000001</v>
      </c>
      <c r="O143" s="21">
        <f t="shared" ref="O143:O159" si="22">+((I143+J143)+(L143+M143))</f>
        <v>0</v>
      </c>
      <c r="P143" s="21">
        <f t="shared" si="21"/>
        <v>2.1017914200000001</v>
      </c>
      <c r="Q143" s="109" t="s">
        <v>19</v>
      </c>
      <c r="R143" s="26" t="s">
        <v>29</v>
      </c>
      <c r="S143" s="10" t="s">
        <v>344</v>
      </c>
    </row>
    <row r="144" spans="1:29" ht="317.10000000000002" customHeight="1" thickBot="1" x14ac:dyDescent="0.8">
      <c r="A144" s="20">
        <v>140</v>
      </c>
      <c r="B144" s="414" t="s">
        <v>586</v>
      </c>
      <c r="C144" s="414" t="s">
        <v>511</v>
      </c>
      <c r="D144" s="416">
        <v>510019001146</v>
      </c>
      <c r="E144" s="20" t="s">
        <v>18</v>
      </c>
      <c r="F144" s="20">
        <v>7.6</v>
      </c>
      <c r="G144" s="23">
        <v>16.270056</v>
      </c>
      <c r="H144" s="23">
        <f>+G144*0.005</f>
        <v>8.1350279999999997E-2</v>
      </c>
      <c r="I144" s="23">
        <v>0</v>
      </c>
      <c r="J144" s="23">
        <v>6.4000000000000001E-2</v>
      </c>
      <c r="K144" s="23">
        <f>+G144*(8.5/100)</f>
        <v>1.3829547600000001</v>
      </c>
      <c r="L144" s="45">
        <v>0</v>
      </c>
      <c r="M144" s="23">
        <v>1.0960000000000001</v>
      </c>
      <c r="N144" s="23">
        <f>+H144+K144</f>
        <v>1.4643050400000002</v>
      </c>
      <c r="O144" s="23">
        <f>+((I144+J144)+(L144+M144))</f>
        <v>1.1600000000000001</v>
      </c>
      <c r="P144" s="23">
        <f>+N144-O144</f>
        <v>0.30430504000000003</v>
      </c>
      <c r="Q144" s="109" t="s">
        <v>284</v>
      </c>
      <c r="R144" s="26" t="s">
        <v>301</v>
      </c>
      <c r="S144" s="10" t="s">
        <v>282</v>
      </c>
      <c r="T144" s="10" t="s">
        <v>283</v>
      </c>
    </row>
    <row r="145" spans="1:29" ht="408.95" customHeight="1" thickBot="1" x14ac:dyDescent="0.8">
      <c r="A145" s="20"/>
      <c r="B145" s="418"/>
      <c r="C145" s="418"/>
      <c r="D145" s="419"/>
      <c r="E145" s="20" t="s">
        <v>20</v>
      </c>
      <c r="F145" s="20">
        <v>7</v>
      </c>
      <c r="G145" s="21">
        <v>64.014381999999998</v>
      </c>
      <c r="H145" s="21">
        <f>+G145*0.005</f>
        <v>0.32007191000000002</v>
      </c>
      <c r="I145" s="21">
        <v>0</v>
      </c>
      <c r="J145" s="21">
        <v>0</v>
      </c>
      <c r="K145" s="21">
        <f>+G145*(8.5/100)</f>
        <v>5.4412224700000005</v>
      </c>
      <c r="L145" s="22">
        <v>0</v>
      </c>
      <c r="M145" s="21">
        <v>0</v>
      </c>
      <c r="N145" s="21">
        <f>+H145+K145</f>
        <v>5.7612943800000007</v>
      </c>
      <c r="O145" s="21">
        <f>+((I145+J145)+(L145+M145))</f>
        <v>0</v>
      </c>
      <c r="P145" s="21">
        <f>+N145-O145</f>
        <v>5.7612943800000007</v>
      </c>
      <c r="Q145" s="109" t="s">
        <v>19</v>
      </c>
      <c r="R145" s="26" t="s">
        <v>449</v>
      </c>
      <c r="S145" s="10" t="s">
        <v>344</v>
      </c>
    </row>
    <row r="146" spans="1:29" ht="317.10000000000002" customHeight="1" thickBot="1" x14ac:dyDescent="0.8">
      <c r="A146" s="20"/>
      <c r="B146" s="415"/>
      <c r="C146" s="415"/>
      <c r="D146" s="417"/>
      <c r="E146" s="20" t="s">
        <v>21</v>
      </c>
      <c r="F146" s="20">
        <v>7.5</v>
      </c>
      <c r="G146" s="20">
        <v>21.48235</v>
      </c>
      <c r="H146" s="23">
        <f>+G146*0.01</f>
        <v>0.2148235</v>
      </c>
      <c r="I146" s="23">
        <v>0</v>
      </c>
      <c r="J146" s="23">
        <v>0</v>
      </c>
      <c r="K146" s="23">
        <f>+G146*(10/100)</f>
        <v>2.1482350000000001</v>
      </c>
      <c r="L146" s="45">
        <v>0</v>
      </c>
      <c r="M146" s="23">
        <v>0</v>
      </c>
      <c r="N146" s="23">
        <f t="shared" si="20"/>
        <v>2.3630585000000002</v>
      </c>
      <c r="O146" s="23">
        <f t="shared" si="22"/>
        <v>0</v>
      </c>
      <c r="P146" s="23">
        <f t="shared" si="21"/>
        <v>2.3630585000000002</v>
      </c>
      <c r="Q146" s="109" t="s">
        <v>19</v>
      </c>
      <c r="R146" s="26" t="s">
        <v>489</v>
      </c>
      <c r="S146" s="7" t="s">
        <v>344</v>
      </c>
      <c r="T146" s="7"/>
      <c r="U146" s="7"/>
      <c r="V146" s="7"/>
      <c r="W146" s="7"/>
      <c r="X146" s="7"/>
      <c r="Y146" s="7"/>
      <c r="Z146" s="7"/>
      <c r="AA146" s="7"/>
      <c r="AB146" s="7"/>
      <c r="AC146" s="7"/>
    </row>
    <row r="147" spans="1:29" ht="215.1" customHeight="1" thickBot="1" x14ac:dyDescent="0.8">
      <c r="A147" s="20">
        <v>143</v>
      </c>
      <c r="B147" s="414" t="s">
        <v>62</v>
      </c>
      <c r="C147" s="414" t="s">
        <v>511</v>
      </c>
      <c r="D147" s="416">
        <v>119036670</v>
      </c>
      <c r="E147" s="20" t="s">
        <v>18</v>
      </c>
      <c r="F147" s="20">
        <v>1</v>
      </c>
      <c r="G147" s="23">
        <v>1.910873</v>
      </c>
      <c r="H147" s="23">
        <f t="shared" ref="H147:H159" si="23">+G147*0.005</f>
        <v>9.5543650000000004E-3</v>
      </c>
      <c r="I147" s="23">
        <v>0</v>
      </c>
      <c r="J147" s="23">
        <v>0</v>
      </c>
      <c r="K147" s="23">
        <f t="shared" ref="K147:K159" si="24">+G147*(8.5/100)</f>
        <v>0.16242420500000002</v>
      </c>
      <c r="L147" s="45">
        <v>0</v>
      </c>
      <c r="M147" s="23">
        <v>0</v>
      </c>
      <c r="N147" s="23">
        <f t="shared" si="20"/>
        <v>0.17197857000000003</v>
      </c>
      <c r="O147" s="23">
        <f t="shared" si="22"/>
        <v>0</v>
      </c>
      <c r="P147" s="23">
        <f t="shared" si="21"/>
        <v>0.17197857000000003</v>
      </c>
      <c r="Q147" s="109" t="s">
        <v>19</v>
      </c>
      <c r="R147" s="26" t="s">
        <v>346</v>
      </c>
      <c r="S147" s="10" t="s">
        <v>344</v>
      </c>
    </row>
    <row r="148" spans="1:29" ht="317.10000000000002" customHeight="1" thickBot="1" x14ac:dyDescent="0.8">
      <c r="A148" s="20"/>
      <c r="B148" s="415"/>
      <c r="C148" s="415"/>
      <c r="D148" s="417"/>
      <c r="E148" s="20" t="s">
        <v>20</v>
      </c>
      <c r="F148" s="20">
        <v>1</v>
      </c>
      <c r="G148" s="21">
        <v>7.8481800000000002</v>
      </c>
      <c r="H148" s="21">
        <f t="shared" si="23"/>
        <v>3.9240900000000002E-2</v>
      </c>
      <c r="I148" s="21">
        <v>0</v>
      </c>
      <c r="J148" s="21">
        <v>0</v>
      </c>
      <c r="K148" s="21">
        <f t="shared" si="24"/>
        <v>0.66709530000000006</v>
      </c>
      <c r="L148" s="22">
        <v>0</v>
      </c>
      <c r="M148" s="21">
        <v>0</v>
      </c>
      <c r="N148" s="21">
        <f t="shared" si="20"/>
        <v>0.70633620000000008</v>
      </c>
      <c r="O148" s="21">
        <f t="shared" si="22"/>
        <v>0</v>
      </c>
      <c r="P148" s="21">
        <f t="shared" si="21"/>
        <v>0.70633620000000008</v>
      </c>
      <c r="Q148" s="109" t="s">
        <v>19</v>
      </c>
      <c r="R148" s="26" t="s">
        <v>447</v>
      </c>
      <c r="S148" s="10" t="s">
        <v>344</v>
      </c>
    </row>
    <row r="149" spans="1:29" ht="375" customHeight="1" thickBot="1" x14ac:dyDescent="0.8">
      <c r="A149" s="20">
        <v>145</v>
      </c>
      <c r="B149" s="19" t="s">
        <v>63</v>
      </c>
      <c r="C149" s="414" t="s">
        <v>511</v>
      </c>
      <c r="D149" s="416">
        <v>21529054060</v>
      </c>
      <c r="E149" s="20" t="s">
        <v>18</v>
      </c>
      <c r="F149" s="20">
        <v>1</v>
      </c>
      <c r="G149" s="23">
        <v>6.565728</v>
      </c>
      <c r="H149" s="23">
        <f t="shared" si="23"/>
        <v>3.2828639999999999E-2</v>
      </c>
      <c r="I149" s="23">
        <v>0</v>
      </c>
      <c r="J149" s="23">
        <f>(14+3+7+4)*1000/1000000</f>
        <v>2.8000000000000001E-2</v>
      </c>
      <c r="K149" s="23">
        <f t="shared" si="24"/>
        <v>0.55808688000000006</v>
      </c>
      <c r="L149" s="45">
        <v>0</v>
      </c>
      <c r="M149" s="23">
        <f>(240+63+120+63)*1000/1000000</f>
        <v>0.48599999999999999</v>
      </c>
      <c r="N149" s="23">
        <f t="shared" si="20"/>
        <v>0.59091552000000003</v>
      </c>
      <c r="O149" s="23">
        <f t="shared" si="22"/>
        <v>0.51400000000000001</v>
      </c>
      <c r="P149" s="23">
        <f t="shared" si="21"/>
        <v>7.6915520000000015E-2</v>
      </c>
      <c r="Q149" s="109" t="s">
        <v>284</v>
      </c>
      <c r="R149" s="26" t="s">
        <v>296</v>
      </c>
      <c r="S149" s="10" t="s">
        <v>282</v>
      </c>
      <c r="T149" s="10" t="s">
        <v>280</v>
      </c>
    </row>
    <row r="150" spans="1:29" ht="317.10000000000002" customHeight="1" thickBot="1" x14ac:dyDescent="0.8">
      <c r="A150" s="20"/>
      <c r="B150" s="19"/>
      <c r="C150" s="415"/>
      <c r="D150" s="417"/>
      <c r="E150" s="20" t="s">
        <v>20</v>
      </c>
      <c r="F150" s="20">
        <v>3.84</v>
      </c>
      <c r="G150" s="21">
        <v>12.798099000000001</v>
      </c>
      <c r="H150" s="21">
        <f t="shared" si="23"/>
        <v>6.3990495000000008E-2</v>
      </c>
      <c r="I150" s="21">
        <v>0</v>
      </c>
      <c r="J150" s="21">
        <v>0.01</v>
      </c>
      <c r="K150" s="21">
        <f t="shared" si="24"/>
        <v>1.0878384150000002</v>
      </c>
      <c r="L150" s="22">
        <v>0</v>
      </c>
      <c r="M150" s="21">
        <v>0.1089</v>
      </c>
      <c r="N150" s="21">
        <f t="shared" si="20"/>
        <v>1.1518289100000003</v>
      </c>
      <c r="O150" s="21">
        <f t="shared" si="22"/>
        <v>0.11889999999999999</v>
      </c>
      <c r="P150" s="21">
        <f t="shared" si="21"/>
        <v>1.0329289100000003</v>
      </c>
      <c r="Q150" s="109" t="s">
        <v>284</v>
      </c>
      <c r="R150" s="26" t="s">
        <v>356</v>
      </c>
      <c r="S150" s="10" t="s">
        <v>282</v>
      </c>
      <c r="T150" s="10" t="s">
        <v>283</v>
      </c>
    </row>
    <row r="151" spans="1:29" ht="317.10000000000002" customHeight="1" thickBot="1" x14ac:dyDescent="0.8">
      <c r="A151" s="20">
        <v>147</v>
      </c>
      <c r="B151" s="19" t="s">
        <v>587</v>
      </c>
      <c r="C151" s="19" t="s">
        <v>511</v>
      </c>
      <c r="D151" s="176">
        <v>186849005533</v>
      </c>
      <c r="E151" s="20" t="s">
        <v>20</v>
      </c>
      <c r="F151" s="20">
        <v>2.5</v>
      </c>
      <c r="G151" s="21">
        <v>19.768509000000002</v>
      </c>
      <c r="H151" s="21">
        <f t="shared" si="23"/>
        <v>9.8842545000000004E-2</v>
      </c>
      <c r="I151" s="21">
        <v>0</v>
      </c>
      <c r="J151" s="21">
        <f>(20+20+15+21+31)*1000/1000000</f>
        <v>0.107</v>
      </c>
      <c r="K151" s="21">
        <f t="shared" si="24"/>
        <v>1.6803232650000002</v>
      </c>
      <c r="L151" s="22">
        <v>0</v>
      </c>
      <c r="M151" s="21">
        <f>(200+200+500+401+559)*1000/1000000</f>
        <v>1.86</v>
      </c>
      <c r="N151" s="21">
        <f t="shared" si="20"/>
        <v>1.7791658100000003</v>
      </c>
      <c r="O151" s="21">
        <f t="shared" si="22"/>
        <v>1.9670000000000001</v>
      </c>
      <c r="P151" s="21">
        <f t="shared" si="21"/>
        <v>-0.18783418999999979</v>
      </c>
      <c r="Q151" s="109" t="s">
        <v>284</v>
      </c>
      <c r="R151" s="26" t="s">
        <v>434</v>
      </c>
      <c r="S151" s="10" t="s">
        <v>282</v>
      </c>
      <c r="T151" s="10" t="s">
        <v>310</v>
      </c>
    </row>
    <row r="152" spans="1:29" ht="317.10000000000002" customHeight="1" thickBot="1" x14ac:dyDescent="0.8">
      <c r="A152" s="20">
        <v>148</v>
      </c>
      <c r="B152" s="19" t="s">
        <v>588</v>
      </c>
      <c r="C152" s="19" t="s">
        <v>511</v>
      </c>
      <c r="D152" s="176">
        <v>430019012120</v>
      </c>
      <c r="E152" s="20" t="s">
        <v>20</v>
      </c>
      <c r="F152" s="20">
        <v>2.5</v>
      </c>
      <c r="G152" s="21">
        <v>24.141922000000001</v>
      </c>
      <c r="H152" s="21">
        <f t="shared" si="23"/>
        <v>0.12070961000000001</v>
      </c>
      <c r="I152" s="21">
        <v>0</v>
      </c>
      <c r="J152" s="21">
        <f>(20+20+35+23+33)*1000/1000000</f>
        <v>0.13100000000000001</v>
      </c>
      <c r="K152" s="21">
        <f t="shared" si="24"/>
        <v>2.0520633700000004</v>
      </c>
      <c r="L152" s="22">
        <v>0</v>
      </c>
      <c r="M152" s="21">
        <f>(200+300+800+366+537)*1000/1000000</f>
        <v>2.2029999999999998</v>
      </c>
      <c r="N152" s="21">
        <f t="shared" si="20"/>
        <v>2.1727729800000004</v>
      </c>
      <c r="O152" s="21">
        <f t="shared" si="22"/>
        <v>2.3339999999999996</v>
      </c>
      <c r="P152" s="21">
        <f t="shared" si="21"/>
        <v>-0.16122701999999922</v>
      </c>
      <c r="Q152" s="109" t="s">
        <v>292</v>
      </c>
      <c r="R152" s="26" t="s">
        <v>432</v>
      </c>
      <c r="S152" s="10" t="s">
        <v>282</v>
      </c>
      <c r="T152" s="10" t="s">
        <v>310</v>
      </c>
    </row>
    <row r="153" spans="1:29" ht="317.10000000000002" customHeight="1" thickBot="1" x14ac:dyDescent="0.8">
      <c r="A153" s="20">
        <v>149</v>
      </c>
      <c r="B153" s="19" t="s">
        <v>589</v>
      </c>
      <c r="C153" s="414" t="s">
        <v>511</v>
      </c>
      <c r="D153" s="416">
        <v>33189019161</v>
      </c>
      <c r="E153" s="20" t="s">
        <v>18</v>
      </c>
      <c r="F153" s="20">
        <v>2.5</v>
      </c>
      <c r="G153" s="44">
        <v>21.517638999999999</v>
      </c>
      <c r="H153" s="23">
        <f t="shared" si="23"/>
        <v>0.107588195</v>
      </c>
      <c r="I153" s="23">
        <v>0</v>
      </c>
      <c r="J153" s="23">
        <v>0</v>
      </c>
      <c r="K153" s="23">
        <f t="shared" si="24"/>
        <v>1.8289993150000001</v>
      </c>
      <c r="L153" s="45">
        <v>0</v>
      </c>
      <c r="M153" s="23">
        <v>0</v>
      </c>
      <c r="N153" s="23">
        <f t="shared" si="20"/>
        <v>1.9365875100000001</v>
      </c>
      <c r="O153" s="23">
        <f t="shared" si="22"/>
        <v>0</v>
      </c>
      <c r="P153" s="23">
        <f t="shared" si="21"/>
        <v>1.9365875100000001</v>
      </c>
      <c r="Q153" s="109" t="s">
        <v>284</v>
      </c>
      <c r="R153" s="26" t="s">
        <v>329</v>
      </c>
      <c r="S153" s="10" t="s">
        <v>282</v>
      </c>
      <c r="T153" s="10" t="s">
        <v>283</v>
      </c>
    </row>
    <row r="154" spans="1:29" ht="317.10000000000002" customHeight="1" thickBot="1" x14ac:dyDescent="0.8">
      <c r="A154" s="20">
        <v>150</v>
      </c>
      <c r="B154" s="19"/>
      <c r="C154" s="415"/>
      <c r="D154" s="417"/>
      <c r="E154" s="20" t="s">
        <v>20</v>
      </c>
      <c r="F154" s="20">
        <v>6</v>
      </c>
      <c r="G154" s="21">
        <v>30.255267</v>
      </c>
      <c r="H154" s="21">
        <f t="shared" si="23"/>
        <v>0.15127633500000001</v>
      </c>
      <c r="I154" s="21">
        <v>0</v>
      </c>
      <c r="J154" s="21">
        <f>((35+29+30+36+2)*1000)/1000000</f>
        <v>0.13200000000000001</v>
      </c>
      <c r="K154" s="21">
        <f t="shared" si="24"/>
        <v>2.5716976950000001</v>
      </c>
      <c r="L154" s="22">
        <v>0</v>
      </c>
      <c r="M154" s="21">
        <f>((600+498+507+609+34)*1000)/1000000</f>
        <v>2.2480000000000002</v>
      </c>
      <c r="N154" s="21">
        <f t="shared" si="20"/>
        <v>2.72297403</v>
      </c>
      <c r="O154" s="21">
        <f t="shared" si="22"/>
        <v>2.3800000000000003</v>
      </c>
      <c r="P154" s="21">
        <f t="shared" si="21"/>
        <v>0.34297402999999971</v>
      </c>
      <c r="Q154" s="109" t="s">
        <v>292</v>
      </c>
      <c r="R154" s="26" t="s">
        <v>378</v>
      </c>
      <c r="S154" s="10" t="s">
        <v>282</v>
      </c>
      <c r="T154" s="10" t="s">
        <v>283</v>
      </c>
    </row>
    <row r="155" spans="1:29" ht="317.10000000000002" customHeight="1" thickBot="1" x14ac:dyDescent="0.8">
      <c r="A155" s="20">
        <v>151</v>
      </c>
      <c r="B155" s="19" t="s">
        <v>590</v>
      </c>
      <c r="C155" s="19" t="s">
        <v>511</v>
      </c>
      <c r="D155" s="176">
        <v>28619020822</v>
      </c>
      <c r="E155" s="20" t="s">
        <v>20</v>
      </c>
      <c r="F155" s="20">
        <v>4.5999999999999996</v>
      </c>
      <c r="G155" s="21">
        <v>9.3027680000000004</v>
      </c>
      <c r="H155" s="21">
        <f t="shared" si="23"/>
        <v>4.6513840000000001E-2</v>
      </c>
      <c r="I155" s="21">
        <v>0</v>
      </c>
      <c r="J155" s="21">
        <f>(41+3)*1000/1000000</f>
        <v>4.3999999999999997E-2</v>
      </c>
      <c r="K155" s="21">
        <f t="shared" si="24"/>
        <v>0.79073528000000004</v>
      </c>
      <c r="L155" s="22">
        <v>0</v>
      </c>
      <c r="M155" s="21">
        <f>(685+51)*1000/1000000</f>
        <v>0.73599999999999999</v>
      </c>
      <c r="N155" s="21">
        <f t="shared" si="20"/>
        <v>0.83724912000000007</v>
      </c>
      <c r="O155" s="21">
        <f t="shared" si="22"/>
        <v>0.78</v>
      </c>
      <c r="P155" s="21">
        <f t="shared" si="21"/>
        <v>5.7249120000000042E-2</v>
      </c>
      <c r="Q155" s="109" t="s">
        <v>284</v>
      </c>
      <c r="R155" s="26" t="s">
        <v>410</v>
      </c>
      <c r="S155" s="10" t="s">
        <v>282</v>
      </c>
      <c r="T155" s="10" t="s">
        <v>283</v>
      </c>
    </row>
    <row r="156" spans="1:29" ht="317.10000000000002" customHeight="1" thickBot="1" x14ac:dyDescent="0.8">
      <c r="A156" s="20">
        <v>152</v>
      </c>
      <c r="B156" s="414" t="s">
        <v>591</v>
      </c>
      <c r="C156" s="414" t="s">
        <v>511</v>
      </c>
      <c r="D156" s="416">
        <v>430019003366</v>
      </c>
      <c r="E156" s="20" t="s">
        <v>18</v>
      </c>
      <c r="F156" s="20">
        <v>3.5</v>
      </c>
      <c r="G156" s="23">
        <v>24.078232</v>
      </c>
      <c r="H156" s="23">
        <f>+G156*0.005</f>
        <v>0.12039116</v>
      </c>
      <c r="I156" s="23">
        <v>0</v>
      </c>
      <c r="J156" s="23">
        <v>0.112</v>
      </c>
      <c r="K156" s="23">
        <f>+G156*(8.5/100)</f>
        <v>2.04664972</v>
      </c>
      <c r="L156" s="45">
        <v>0</v>
      </c>
      <c r="M156" s="23">
        <v>1.901</v>
      </c>
      <c r="N156" s="23">
        <f>+H156+K156</f>
        <v>2.1670408800000001</v>
      </c>
      <c r="O156" s="23">
        <f>+((I156+J156)+(L156+M156))</f>
        <v>2.0129999999999999</v>
      </c>
      <c r="P156" s="23">
        <f>+N156-O156</f>
        <v>0.15404088000000016</v>
      </c>
      <c r="Q156" s="109" t="s">
        <v>284</v>
      </c>
      <c r="R156" s="26" t="s">
        <v>294</v>
      </c>
      <c r="S156" s="10" t="s">
        <v>282</v>
      </c>
      <c r="T156" s="10" t="s">
        <v>283</v>
      </c>
    </row>
    <row r="157" spans="1:29" ht="317.10000000000002" customHeight="1" thickBot="1" x14ac:dyDescent="0.8">
      <c r="A157" s="20"/>
      <c r="B157" s="415"/>
      <c r="C157" s="415"/>
      <c r="D157" s="417"/>
      <c r="E157" s="20" t="s">
        <v>20</v>
      </c>
      <c r="F157" s="20">
        <v>3.5</v>
      </c>
      <c r="G157" s="21">
        <v>32.787792000000003</v>
      </c>
      <c r="H157" s="21">
        <f t="shared" si="23"/>
        <v>0.16393896000000002</v>
      </c>
      <c r="I157" s="21">
        <v>0</v>
      </c>
      <c r="J157" s="21">
        <f>(89+11)*1000/1000000</f>
        <v>0.1</v>
      </c>
      <c r="K157" s="21">
        <f t="shared" si="24"/>
        <v>2.7869623200000007</v>
      </c>
      <c r="L157" s="22">
        <v>0</v>
      </c>
      <c r="M157" s="21">
        <f>(1083+1299+233+173)*1000/1000000</f>
        <v>2.7879999999999998</v>
      </c>
      <c r="N157" s="21">
        <f t="shared" si="20"/>
        <v>2.9509012800000005</v>
      </c>
      <c r="O157" s="21">
        <f t="shared" si="22"/>
        <v>2.8879999999999999</v>
      </c>
      <c r="P157" s="21">
        <f t="shared" si="21"/>
        <v>6.2901280000000614E-2</v>
      </c>
      <c r="Q157" s="109" t="s">
        <v>284</v>
      </c>
      <c r="R157" s="26" t="s">
        <v>428</v>
      </c>
      <c r="S157" s="10" t="s">
        <v>282</v>
      </c>
      <c r="T157" s="10" t="s">
        <v>283</v>
      </c>
    </row>
    <row r="158" spans="1:29" ht="317.10000000000002" customHeight="1" thickBot="1" x14ac:dyDescent="0.8">
      <c r="A158" s="20">
        <v>154</v>
      </c>
      <c r="B158" s="414" t="s">
        <v>592</v>
      </c>
      <c r="C158" s="414" t="s">
        <v>511</v>
      </c>
      <c r="D158" s="416">
        <v>28619003774</v>
      </c>
      <c r="E158" s="20" t="s">
        <v>18</v>
      </c>
      <c r="F158" s="20">
        <v>5</v>
      </c>
      <c r="G158" s="23">
        <v>20.700420000000001</v>
      </c>
      <c r="H158" s="23">
        <f t="shared" si="23"/>
        <v>0.10350210000000001</v>
      </c>
      <c r="I158" s="23">
        <v>0</v>
      </c>
      <c r="J158" s="23">
        <v>3.3000000000000002E-2</v>
      </c>
      <c r="K158" s="23">
        <f t="shared" si="24"/>
        <v>1.7595357000000003</v>
      </c>
      <c r="L158" s="45">
        <v>0</v>
      </c>
      <c r="M158" s="23">
        <v>0.54900000000000004</v>
      </c>
      <c r="N158" s="23">
        <f t="shared" si="20"/>
        <v>1.8630378000000003</v>
      </c>
      <c r="O158" s="23">
        <f t="shared" si="22"/>
        <v>0.58200000000000007</v>
      </c>
      <c r="P158" s="23">
        <f t="shared" si="21"/>
        <v>1.2810378000000002</v>
      </c>
      <c r="Q158" s="109" t="s">
        <v>292</v>
      </c>
      <c r="R158" s="26" t="s">
        <v>293</v>
      </c>
      <c r="S158" s="10" t="s">
        <v>282</v>
      </c>
      <c r="T158" s="10" t="s">
        <v>283</v>
      </c>
    </row>
    <row r="159" spans="1:29" ht="317.10000000000002" customHeight="1" thickBot="1" x14ac:dyDescent="0.8">
      <c r="A159" s="20"/>
      <c r="B159" s="418"/>
      <c r="C159" s="418"/>
      <c r="D159" s="419"/>
      <c r="E159" s="20" t="s">
        <v>20</v>
      </c>
      <c r="F159" s="20">
        <v>5</v>
      </c>
      <c r="G159" s="21">
        <v>35.987746999999999</v>
      </c>
      <c r="H159" s="21">
        <f t="shared" si="23"/>
        <v>0.17993873499999999</v>
      </c>
      <c r="I159" s="21">
        <f>(4023034/1000000)</f>
        <v>4.023034</v>
      </c>
      <c r="J159" s="21">
        <f>(((104+10)*1000)/1000000)</f>
        <v>0.114</v>
      </c>
      <c r="K159" s="21">
        <f t="shared" si="24"/>
        <v>3.0589584950000002</v>
      </c>
      <c r="L159" s="22">
        <v>0</v>
      </c>
      <c r="M159" s="21">
        <f>(((1096+1432+378+154)*1000)/1000000)</f>
        <v>3.06</v>
      </c>
      <c r="N159" s="21">
        <f t="shared" si="20"/>
        <v>3.2388972300000001</v>
      </c>
      <c r="O159" s="21">
        <f t="shared" si="22"/>
        <v>7.1970340000000004</v>
      </c>
      <c r="P159" s="21">
        <f t="shared" si="21"/>
        <v>-3.9581367700000003</v>
      </c>
      <c r="Q159" s="109" t="s">
        <v>284</v>
      </c>
      <c r="R159" s="26" t="s">
        <v>356</v>
      </c>
      <c r="S159" s="10" t="s">
        <v>282</v>
      </c>
      <c r="T159" s="10" t="s">
        <v>310</v>
      </c>
    </row>
    <row r="160" spans="1:29" ht="317.10000000000002" customHeight="1" thickBot="1" x14ac:dyDescent="0.8">
      <c r="A160" s="20"/>
      <c r="B160" s="418"/>
      <c r="C160" s="418"/>
      <c r="D160" s="419"/>
      <c r="E160" s="20" t="s">
        <v>21</v>
      </c>
      <c r="F160" s="20">
        <v>8</v>
      </c>
      <c r="G160" s="23">
        <v>50.967243000000003</v>
      </c>
      <c r="H160" s="23">
        <f>+G160*0.01</f>
        <v>0.50967243000000007</v>
      </c>
      <c r="I160" s="23">
        <f>(0.075+0.098+0.107+0.128)</f>
        <v>0.40799999999999997</v>
      </c>
      <c r="J160" s="23">
        <f>((10+88+32)*1000)/1000000</f>
        <v>0.13</v>
      </c>
      <c r="K160" s="23">
        <f>+G160*(10/100)</f>
        <v>5.0967243000000009</v>
      </c>
      <c r="L160" s="45">
        <f>(0.186+0.211+0.11+0.039+0.146+0.0656)</f>
        <v>0.75760000000000005</v>
      </c>
      <c r="M160" s="23">
        <f>((154+294+1163+3025)*1000)/1000000</f>
        <v>4.6360000000000001</v>
      </c>
      <c r="N160" s="23">
        <f>+H160+K160</f>
        <v>5.606396730000001</v>
      </c>
      <c r="O160" s="23">
        <f>+((I160+J160)+(L160+M160))</f>
        <v>5.9316000000000004</v>
      </c>
      <c r="P160" s="23">
        <f>+N160-O160</f>
        <v>-0.32520326999999938</v>
      </c>
      <c r="Q160" s="109" t="s">
        <v>19</v>
      </c>
      <c r="R160" s="26" t="s">
        <v>468</v>
      </c>
      <c r="S160" s="10" t="s">
        <v>282</v>
      </c>
      <c r="T160" s="10" t="s">
        <v>310</v>
      </c>
    </row>
    <row r="161" spans="1:29" ht="317.10000000000002" customHeight="1" thickBot="1" x14ac:dyDescent="0.8">
      <c r="A161" s="20"/>
      <c r="B161" s="418"/>
      <c r="C161" s="418"/>
      <c r="D161" s="419"/>
      <c r="E161" s="58" t="s">
        <v>22</v>
      </c>
      <c r="F161" s="58">
        <v>7</v>
      </c>
      <c r="G161" s="60">
        <f>47360128/1000000</f>
        <v>47.360128000000003</v>
      </c>
      <c r="H161" s="60">
        <f>+G161*0.02</f>
        <v>0.94720256000000003</v>
      </c>
      <c r="I161" s="60">
        <v>0</v>
      </c>
      <c r="J161" s="60">
        <f>((889)*1000)/1000000</f>
        <v>0.88900000000000001</v>
      </c>
      <c r="K161" s="60">
        <f>+G161*(10.5/100)</f>
        <v>4.9728134400000004</v>
      </c>
      <c r="L161" s="61">
        <v>0</v>
      </c>
      <c r="M161" s="60">
        <f>((1000+2660+937+40)*1000)/1000000</f>
        <v>4.6369999999999996</v>
      </c>
      <c r="N161" s="60">
        <f>+H161+K161</f>
        <v>5.9200160000000004</v>
      </c>
      <c r="O161" s="60">
        <f>I161+J161+L161+M161</f>
        <v>5.5259999999999998</v>
      </c>
      <c r="P161" s="60">
        <f>N161-O161</f>
        <v>0.39401600000000059</v>
      </c>
      <c r="Q161" s="110" t="s">
        <v>19</v>
      </c>
      <c r="R161" s="27" t="s">
        <v>65</v>
      </c>
      <c r="S161" s="7" t="s">
        <v>282</v>
      </c>
      <c r="T161" s="7" t="s">
        <v>283</v>
      </c>
      <c r="U161" s="7"/>
      <c r="V161" s="7"/>
      <c r="W161" s="7"/>
      <c r="X161" s="7"/>
      <c r="Y161" s="7"/>
      <c r="Z161" s="7"/>
      <c r="AA161" s="7"/>
      <c r="AB161" s="7"/>
      <c r="AC161" s="7"/>
    </row>
    <row r="162" spans="1:29" ht="317.10000000000002" customHeight="1" thickBot="1" x14ac:dyDescent="0.8">
      <c r="A162" s="20"/>
      <c r="B162" s="418"/>
      <c r="C162" s="418"/>
      <c r="D162" s="419"/>
      <c r="E162" s="47" t="s">
        <v>24</v>
      </c>
      <c r="F162" s="47">
        <v>7</v>
      </c>
      <c r="G162" s="143">
        <v>35.817112000000002</v>
      </c>
      <c r="H162" s="50">
        <f>+G162*(2.75/100)</f>
        <v>0.98497058000000004</v>
      </c>
      <c r="I162" s="148">
        <v>0.63</v>
      </c>
      <c r="J162" s="50">
        <f>((21+172+43)*1000)/1000000</f>
        <v>0.23599999999999999</v>
      </c>
      <c r="K162" s="50">
        <f>+G162*(11/100)</f>
        <v>3.9398823200000002</v>
      </c>
      <c r="L162" s="149">
        <v>2.827</v>
      </c>
      <c r="M162" s="50">
        <f>((21+544+176)*1000)/1000000</f>
        <v>0.74099999999999999</v>
      </c>
      <c r="N162" s="50">
        <f>+H162+K162</f>
        <v>4.9248529000000003</v>
      </c>
      <c r="O162" s="50">
        <f>I162+J162+L162+M162</f>
        <v>4.4340000000000002</v>
      </c>
      <c r="P162" s="50">
        <f>N162-O162</f>
        <v>0.49085290000000015</v>
      </c>
      <c r="Q162" s="111" t="s">
        <v>497</v>
      </c>
      <c r="R162" s="28" t="s">
        <v>66</v>
      </c>
      <c r="S162" s="7" t="s">
        <v>282</v>
      </c>
      <c r="T162" s="7" t="s">
        <v>283</v>
      </c>
      <c r="U162" s="7"/>
      <c r="V162" s="7"/>
      <c r="W162" s="7"/>
      <c r="X162" s="7"/>
      <c r="Y162" s="7"/>
      <c r="Z162" s="7"/>
      <c r="AA162" s="7"/>
      <c r="AB162" s="7"/>
      <c r="AC162" s="7"/>
    </row>
    <row r="163" spans="1:29" ht="317.10000000000002" customHeight="1" thickBot="1" x14ac:dyDescent="0.8">
      <c r="A163" s="20"/>
      <c r="B163" s="415"/>
      <c r="C163" s="415"/>
      <c r="D163" s="417"/>
      <c r="E163" s="53" t="s">
        <v>27</v>
      </c>
      <c r="F163" s="53">
        <v>7</v>
      </c>
      <c r="G163" s="53">
        <v>15.067208000000001</v>
      </c>
      <c r="H163" s="54">
        <f>+G163*(3.5/100)</f>
        <v>0.52735228000000012</v>
      </c>
      <c r="I163" s="54">
        <v>0</v>
      </c>
      <c r="J163" s="54">
        <v>0.54900000000000004</v>
      </c>
      <c r="K163" s="54">
        <f>+G163*(11.5/100)</f>
        <v>1.7327289200000002</v>
      </c>
      <c r="L163" s="56">
        <v>12.907</v>
      </c>
      <c r="M163" s="54">
        <v>0.17599999999999999</v>
      </c>
      <c r="N163" s="54">
        <f t="shared" si="20"/>
        <v>2.2600812000000001</v>
      </c>
      <c r="O163" s="54">
        <f>I163+J163+L163+M163</f>
        <v>13.632</v>
      </c>
      <c r="P163" s="54">
        <f t="shared" si="21"/>
        <v>-11.3719188</v>
      </c>
      <c r="Q163" s="112" t="s">
        <v>497</v>
      </c>
      <c r="R163" s="31" t="s">
        <v>67</v>
      </c>
      <c r="S163" s="7" t="s">
        <v>282</v>
      </c>
      <c r="T163" s="7" t="s">
        <v>310</v>
      </c>
      <c r="U163" s="7"/>
      <c r="V163" s="7"/>
      <c r="W163" s="7"/>
      <c r="X163" s="7"/>
      <c r="Y163" s="7"/>
      <c r="Z163" s="7"/>
      <c r="AA163" s="7"/>
      <c r="AB163" s="7"/>
      <c r="AC163" s="7"/>
    </row>
    <row r="164" spans="1:29" ht="317.10000000000002" customHeight="1" thickBot="1" x14ac:dyDescent="0.8">
      <c r="A164" s="20">
        <v>160</v>
      </c>
      <c r="B164" s="414" t="s">
        <v>593</v>
      </c>
      <c r="C164" s="414" t="s">
        <v>511</v>
      </c>
      <c r="D164" s="416">
        <v>75949010261</v>
      </c>
      <c r="E164" s="20" t="s">
        <v>18</v>
      </c>
      <c r="F164" s="20">
        <v>15</v>
      </c>
      <c r="G164" s="23">
        <v>61.467449999999999</v>
      </c>
      <c r="H164" s="23">
        <f>+G164*0.005</f>
        <v>0.30733725000000001</v>
      </c>
      <c r="I164" s="23">
        <v>0</v>
      </c>
      <c r="J164" s="23">
        <v>0.29499999999999998</v>
      </c>
      <c r="K164" s="23">
        <f>+G164*(8.5/100)</f>
        <v>5.2247332500000008</v>
      </c>
      <c r="L164" s="45">
        <v>0</v>
      </c>
      <c r="M164" s="23">
        <v>5.0030000000000001</v>
      </c>
      <c r="N164" s="23">
        <f>+H164+K164</f>
        <v>5.5320705000000006</v>
      </c>
      <c r="O164" s="23">
        <f>+((I164+J164)+(L164+M164))</f>
        <v>5.298</v>
      </c>
      <c r="P164" s="23">
        <f>+N164-O164</f>
        <v>0.23407050000000051</v>
      </c>
      <c r="Q164" s="109" t="s">
        <v>292</v>
      </c>
      <c r="R164" s="32" t="s">
        <v>339</v>
      </c>
      <c r="S164" s="10" t="s">
        <v>282</v>
      </c>
      <c r="T164" s="10" t="s">
        <v>283</v>
      </c>
    </row>
    <row r="165" spans="1:29" ht="317.10000000000002" customHeight="1" thickBot="1" x14ac:dyDescent="0.8">
      <c r="A165" s="20">
        <v>161</v>
      </c>
      <c r="B165" s="418"/>
      <c r="C165" s="418"/>
      <c r="D165" s="419"/>
      <c r="E165" s="20" t="s">
        <v>20</v>
      </c>
      <c r="F165" s="20">
        <v>8</v>
      </c>
      <c r="G165" s="21">
        <v>69.481375999999997</v>
      </c>
      <c r="H165" s="21">
        <f>+G165*0.005</f>
        <v>0.34740687999999997</v>
      </c>
      <c r="I165" s="21">
        <v>0</v>
      </c>
      <c r="J165" s="21">
        <f>(52+26+29+28+58+50+25+29+30)*1000/1000000</f>
        <v>0.32700000000000001</v>
      </c>
      <c r="K165" s="21">
        <f>+G165*(8.5/100)</f>
        <v>5.9059169599999999</v>
      </c>
      <c r="L165" s="22">
        <v>0</v>
      </c>
      <c r="M165" s="21">
        <f>(868+457+490+478+973+851+423+505+501)*1000/1000000</f>
        <v>5.5460000000000003</v>
      </c>
      <c r="N165" s="21">
        <f t="shared" si="20"/>
        <v>6.2533238400000002</v>
      </c>
      <c r="O165" s="21">
        <f t="shared" ref="O165:O231" si="25">+((I165+J165)+(L165+M165))</f>
        <v>5.8730000000000002</v>
      </c>
      <c r="P165" s="21">
        <f t="shared" ref="P165:P231" si="26">+N165-O165</f>
        <v>0.38032383999999997</v>
      </c>
      <c r="Q165" s="109" t="s">
        <v>19</v>
      </c>
      <c r="R165" s="26" t="s">
        <v>68</v>
      </c>
      <c r="S165" s="10" t="s">
        <v>282</v>
      </c>
      <c r="T165" s="10" t="s">
        <v>283</v>
      </c>
    </row>
    <row r="166" spans="1:29" ht="317.10000000000002" customHeight="1" thickBot="1" x14ac:dyDescent="0.8">
      <c r="A166" s="20">
        <v>162</v>
      </c>
      <c r="B166" s="418"/>
      <c r="C166" s="418"/>
      <c r="D166" s="419"/>
      <c r="E166" s="20" t="s">
        <v>21</v>
      </c>
      <c r="F166" s="20">
        <v>10</v>
      </c>
      <c r="G166" s="23">
        <v>74.925242999999995</v>
      </c>
      <c r="H166" s="23">
        <f>+G166*0.01</f>
        <v>0.74925242999999997</v>
      </c>
      <c r="I166" s="23">
        <v>0</v>
      </c>
      <c r="J166" s="23">
        <f>((68+67+15+52+182+56)*1000)/1000000</f>
        <v>0.44</v>
      </c>
      <c r="K166" s="23">
        <f>+G166*(10/100)</f>
        <v>7.4925242999999995</v>
      </c>
      <c r="L166" s="45">
        <v>0</v>
      </c>
      <c r="M166" s="23">
        <f>((686+672+250+314+1826+556)*1000)/1000000</f>
        <v>4.3040000000000003</v>
      </c>
      <c r="N166" s="23">
        <f>+H166+K166</f>
        <v>8.2417767299999998</v>
      </c>
      <c r="O166" s="23">
        <f>+((I166+J166)+(L166+M166))</f>
        <v>4.7440000000000007</v>
      </c>
      <c r="P166" s="23">
        <f>+N166-O166</f>
        <v>3.4977767299999991</v>
      </c>
      <c r="Q166" s="109" t="s">
        <v>284</v>
      </c>
      <c r="R166" s="26" t="s">
        <v>484</v>
      </c>
      <c r="S166" s="10" t="s">
        <v>282</v>
      </c>
      <c r="T166" s="10" t="s">
        <v>283</v>
      </c>
    </row>
    <row r="167" spans="1:29" ht="317.10000000000002" customHeight="1" thickBot="1" x14ac:dyDescent="0.8">
      <c r="A167" s="20">
        <v>163</v>
      </c>
      <c r="B167" s="415"/>
      <c r="C167" s="415"/>
      <c r="D167" s="417"/>
      <c r="E167" s="58" t="s">
        <v>22</v>
      </c>
      <c r="F167" s="58">
        <v>8.1999999999999993</v>
      </c>
      <c r="G167" s="60">
        <f>26877360/1000000</f>
        <v>26.877359999999999</v>
      </c>
      <c r="H167" s="60">
        <f>+G167*0.02</f>
        <v>0.5375472</v>
      </c>
      <c r="I167" s="60">
        <v>0</v>
      </c>
      <c r="J167" s="60">
        <v>0</v>
      </c>
      <c r="K167" s="60">
        <f>+G167*(10.5/100)</f>
        <v>2.8221227999999998</v>
      </c>
      <c r="L167" s="61">
        <v>0</v>
      </c>
      <c r="M167" s="60">
        <v>0</v>
      </c>
      <c r="N167" s="60">
        <f t="shared" si="20"/>
        <v>3.3596699999999999</v>
      </c>
      <c r="O167" s="60">
        <f t="shared" si="25"/>
        <v>0</v>
      </c>
      <c r="P167" s="60">
        <f t="shared" si="26"/>
        <v>3.3596699999999999</v>
      </c>
      <c r="Q167" s="110" t="s">
        <v>19</v>
      </c>
      <c r="R167" s="27" t="s">
        <v>69</v>
      </c>
      <c r="S167" s="7" t="s">
        <v>344</v>
      </c>
      <c r="T167" s="7"/>
      <c r="U167" s="7"/>
      <c r="V167" s="7"/>
      <c r="W167" s="7"/>
      <c r="X167" s="7"/>
      <c r="Y167" s="7"/>
      <c r="Z167" s="7"/>
      <c r="AA167" s="7"/>
      <c r="AB167" s="7"/>
      <c r="AC167" s="7"/>
    </row>
    <row r="168" spans="1:29" ht="317.10000000000002" customHeight="1" thickBot="1" x14ac:dyDescent="0.8">
      <c r="A168" s="394">
        <v>167</v>
      </c>
      <c r="B168" s="414" t="s">
        <v>594</v>
      </c>
      <c r="C168" s="414" t="s">
        <v>536</v>
      </c>
      <c r="D168" s="416">
        <v>900000021997</v>
      </c>
      <c r="E168" s="20" t="s">
        <v>20</v>
      </c>
      <c r="F168" s="20">
        <v>57.5</v>
      </c>
      <c r="G168" s="21">
        <f>56160000/1000000</f>
        <v>56.16</v>
      </c>
      <c r="H168" s="21">
        <f>+G168*0.005</f>
        <v>0.28079999999999999</v>
      </c>
      <c r="I168" s="21">
        <v>0</v>
      </c>
      <c r="J168" s="21">
        <f>((281)*1000)/1000000</f>
        <v>0.28100000000000003</v>
      </c>
      <c r="K168" s="21">
        <f>+G168*(8.5/100)</f>
        <v>4.7736000000000001</v>
      </c>
      <c r="L168" s="22">
        <v>0</v>
      </c>
      <c r="M168" s="21">
        <f>((4774)*1000)/1000000</f>
        <v>4.774</v>
      </c>
      <c r="N168" s="21">
        <f>+H168+K168</f>
        <v>5.0544000000000002</v>
      </c>
      <c r="O168" s="21">
        <f>+((I168+J168)+(L168+M168))</f>
        <v>5.0549999999999997</v>
      </c>
      <c r="P168" s="21">
        <f>+N168-O168</f>
        <v>-5.9999999999948983E-4</v>
      </c>
      <c r="Q168" s="109" t="s">
        <v>372</v>
      </c>
      <c r="R168" s="26" t="s">
        <v>377</v>
      </c>
      <c r="S168" s="10" t="s">
        <v>282</v>
      </c>
      <c r="T168" s="10" t="s">
        <v>310</v>
      </c>
    </row>
    <row r="169" spans="1:29" ht="317.10000000000002" customHeight="1" thickBot="1" x14ac:dyDescent="0.8">
      <c r="A169" s="395"/>
      <c r="B169" s="418"/>
      <c r="C169" s="418"/>
      <c r="D169" s="419"/>
      <c r="E169" s="20" t="s">
        <v>21</v>
      </c>
      <c r="F169" s="20">
        <v>40</v>
      </c>
      <c r="G169" s="23">
        <v>282.86</v>
      </c>
      <c r="H169" s="23">
        <f>+G169*0.01</f>
        <v>2.8286000000000002</v>
      </c>
      <c r="I169" s="23">
        <v>0</v>
      </c>
      <c r="J169" s="23">
        <f>((27+130+222+2437)*1000)/1000000</f>
        <v>2.8159999999999998</v>
      </c>
      <c r="K169" s="23">
        <f>+G169*(10/100)</f>
        <v>28.286000000000001</v>
      </c>
      <c r="L169" s="45">
        <v>0</v>
      </c>
      <c r="M169" s="23">
        <f>((6900+6934+7456+6997)*1000)/1000000</f>
        <v>28.286999999999999</v>
      </c>
      <c r="N169" s="23">
        <f t="shared" si="20"/>
        <v>31.114600000000003</v>
      </c>
      <c r="O169" s="23">
        <f t="shared" si="25"/>
        <v>31.102999999999998</v>
      </c>
      <c r="P169" s="23">
        <f t="shared" si="26"/>
        <v>1.160000000000494E-2</v>
      </c>
      <c r="Q169" s="109" t="s">
        <v>284</v>
      </c>
      <c r="R169" s="26" t="s">
        <v>465</v>
      </c>
      <c r="S169" s="10" t="s">
        <v>282</v>
      </c>
      <c r="T169" s="10" t="s">
        <v>283</v>
      </c>
    </row>
    <row r="170" spans="1:29" ht="317.10000000000002" customHeight="1" thickBot="1" x14ac:dyDescent="0.8">
      <c r="A170" s="395"/>
      <c r="B170" s="418"/>
      <c r="C170" s="418"/>
      <c r="D170" s="419"/>
      <c r="E170" s="58" t="s">
        <v>22</v>
      </c>
      <c r="F170" s="58">
        <v>40</v>
      </c>
      <c r="G170" s="60">
        <v>368.740611</v>
      </c>
      <c r="H170" s="60">
        <f>+G170*0.02</f>
        <v>7.3748122199999999</v>
      </c>
      <c r="I170" s="60">
        <v>0</v>
      </c>
      <c r="J170" s="60">
        <v>0</v>
      </c>
      <c r="K170" s="60">
        <f>+G170*(10.5/100)</f>
        <v>38.717764154999998</v>
      </c>
      <c r="L170" s="61">
        <v>46.48</v>
      </c>
      <c r="M170" s="60">
        <v>0</v>
      </c>
      <c r="N170" s="60">
        <f>+H170+K170</f>
        <v>46.092576375</v>
      </c>
      <c r="O170" s="60">
        <f>+((I170+J170)+(L170+M170))</f>
        <v>46.48</v>
      </c>
      <c r="P170" s="60">
        <f>+N170-O170</f>
        <v>-0.38742362499999672</v>
      </c>
      <c r="Q170" s="110" t="s">
        <v>493</v>
      </c>
      <c r="R170" s="33" t="s">
        <v>70</v>
      </c>
      <c r="S170" s="7" t="s">
        <v>282</v>
      </c>
      <c r="T170" s="7" t="s">
        <v>310</v>
      </c>
      <c r="U170" s="7"/>
      <c r="V170" s="7"/>
      <c r="W170" s="7"/>
      <c r="X170" s="7"/>
      <c r="Y170" s="7"/>
      <c r="Z170" s="7"/>
      <c r="AA170" s="7"/>
      <c r="AB170" s="7"/>
      <c r="AC170" s="7"/>
    </row>
    <row r="171" spans="1:29" ht="317.10000000000002" customHeight="1" thickBot="1" x14ac:dyDescent="0.8">
      <c r="A171" s="395"/>
      <c r="B171" s="418"/>
      <c r="C171" s="418"/>
      <c r="D171" s="419"/>
      <c r="E171" s="139" t="s">
        <v>24</v>
      </c>
      <c r="F171" s="139">
        <v>40</v>
      </c>
      <c r="G171" s="150">
        <v>255.11</v>
      </c>
      <c r="H171" s="150">
        <f>+G171*(2.75/100)</f>
        <v>7.0155250000000002</v>
      </c>
      <c r="I171" s="150">
        <v>0</v>
      </c>
      <c r="J171" s="150">
        <f>((1354)*1000)/1000000</f>
        <v>1.3540000000000001</v>
      </c>
      <c r="K171" s="150">
        <f>+G171*(11/100)</f>
        <v>28.062100000000001</v>
      </c>
      <c r="L171" s="151">
        <v>80.28</v>
      </c>
      <c r="M171" s="150">
        <v>0</v>
      </c>
      <c r="N171" s="150">
        <f>+H171+K171</f>
        <v>35.077624999999998</v>
      </c>
      <c r="O171" s="150">
        <f>+((I171+J171)+(L171+M171))</f>
        <v>81.634</v>
      </c>
      <c r="P171" s="150">
        <f>+N171-O171</f>
        <v>-46.556375000000003</v>
      </c>
      <c r="Q171" s="114" t="s">
        <v>71</v>
      </c>
      <c r="R171" s="34" t="s">
        <v>72</v>
      </c>
      <c r="S171" s="7" t="s">
        <v>282</v>
      </c>
      <c r="T171" s="7" t="s">
        <v>310</v>
      </c>
      <c r="U171" s="7"/>
      <c r="V171" s="7"/>
      <c r="W171" s="7"/>
      <c r="X171" s="7"/>
      <c r="Y171" s="7"/>
      <c r="Z171" s="7"/>
      <c r="AA171" s="7"/>
      <c r="AB171" s="7"/>
      <c r="AC171" s="7"/>
    </row>
    <row r="172" spans="1:29" ht="317.10000000000002" customHeight="1" thickBot="1" x14ac:dyDescent="0.8">
      <c r="A172" s="396"/>
      <c r="B172" s="415"/>
      <c r="C172" s="415"/>
      <c r="D172" s="417"/>
      <c r="E172" s="53" t="s">
        <v>27</v>
      </c>
      <c r="F172" s="140">
        <v>50</v>
      </c>
      <c r="G172" s="141">
        <v>339.07</v>
      </c>
      <c r="H172" s="141">
        <f>+G172*(3.5/100)</f>
        <v>11.867450000000002</v>
      </c>
      <c r="I172" s="54">
        <v>0</v>
      </c>
      <c r="J172" s="54">
        <v>0</v>
      </c>
      <c r="K172" s="141">
        <f>+G172*(11.5/100)</f>
        <v>38.993050000000004</v>
      </c>
      <c r="L172" s="56">
        <v>45.136000000000003</v>
      </c>
      <c r="M172" s="54">
        <v>0</v>
      </c>
      <c r="N172" s="54">
        <f>+H172+K172</f>
        <v>50.860500000000002</v>
      </c>
      <c r="O172" s="54">
        <f>+((I172+J172)+(L172+M172))</f>
        <v>45.136000000000003</v>
      </c>
      <c r="P172" s="54">
        <f>+N172-O172</f>
        <v>5.724499999999999</v>
      </c>
      <c r="Q172" s="115" t="s">
        <v>73</v>
      </c>
      <c r="R172" s="35" t="s">
        <v>74</v>
      </c>
      <c r="S172" s="7" t="s">
        <v>282</v>
      </c>
      <c r="T172" s="7" t="s">
        <v>283</v>
      </c>
      <c r="U172" s="7"/>
      <c r="V172" s="7"/>
      <c r="W172" s="7"/>
      <c r="X172" s="7"/>
      <c r="Y172" s="7"/>
      <c r="Z172" s="7"/>
      <c r="AA172" s="7"/>
      <c r="AB172" s="7"/>
      <c r="AC172" s="7"/>
    </row>
    <row r="173" spans="1:29" ht="317.10000000000002" customHeight="1" thickBot="1" x14ac:dyDescent="0.8">
      <c r="A173" s="20">
        <v>169</v>
      </c>
      <c r="B173" s="19" t="s">
        <v>596</v>
      </c>
      <c r="C173" s="19" t="s">
        <v>511</v>
      </c>
      <c r="D173" s="176">
        <v>162019000354</v>
      </c>
      <c r="E173" s="20" t="s">
        <v>20</v>
      </c>
      <c r="F173" s="20">
        <v>5</v>
      </c>
      <c r="G173" s="21">
        <v>6.5838700000000001</v>
      </c>
      <c r="H173" s="21">
        <f>+G173*0.005</f>
        <v>3.291935E-2</v>
      </c>
      <c r="I173" s="21">
        <v>0</v>
      </c>
      <c r="J173" s="21">
        <f>(((30)*1000)/1000000)</f>
        <v>0.03</v>
      </c>
      <c r="K173" s="21">
        <f>+G173*(8.5/100)</f>
        <v>0.55962895000000001</v>
      </c>
      <c r="L173" s="22">
        <v>0</v>
      </c>
      <c r="M173" s="21">
        <f>(((475)*1000)/1000000)</f>
        <v>0.47499999999999998</v>
      </c>
      <c r="N173" s="21">
        <f t="shared" si="20"/>
        <v>0.59254830000000003</v>
      </c>
      <c r="O173" s="21">
        <f t="shared" si="25"/>
        <v>0.505</v>
      </c>
      <c r="P173" s="21">
        <f t="shared" si="26"/>
        <v>8.7548300000000023E-2</v>
      </c>
      <c r="Q173" s="109" t="s">
        <v>284</v>
      </c>
      <c r="R173" s="32" t="s">
        <v>392</v>
      </c>
      <c r="S173" s="10" t="s">
        <v>282</v>
      </c>
      <c r="T173" s="10" t="s">
        <v>283</v>
      </c>
    </row>
    <row r="174" spans="1:29" ht="317.10000000000002" customHeight="1" thickBot="1" x14ac:dyDescent="0.8">
      <c r="A174" s="20">
        <v>170</v>
      </c>
      <c r="B174" s="19" t="s">
        <v>597</v>
      </c>
      <c r="C174" s="19" t="s">
        <v>511</v>
      </c>
      <c r="D174" s="176">
        <v>178099033200</v>
      </c>
      <c r="E174" s="20" t="s">
        <v>20</v>
      </c>
      <c r="F174" s="20">
        <v>1</v>
      </c>
      <c r="G174" s="21">
        <v>5.9490600000000002</v>
      </c>
      <c r="H174" s="21">
        <f>+G174*0.005</f>
        <v>2.9745300000000002E-2</v>
      </c>
      <c r="I174" s="21">
        <v>0</v>
      </c>
      <c r="J174" s="21">
        <v>0</v>
      </c>
      <c r="K174" s="21">
        <f>+G174*(8.5/100)</f>
        <v>0.50567010000000001</v>
      </c>
      <c r="L174" s="22">
        <v>0</v>
      </c>
      <c r="M174" s="21">
        <v>0</v>
      </c>
      <c r="N174" s="21">
        <f t="shared" si="20"/>
        <v>0.53541539999999999</v>
      </c>
      <c r="O174" s="21">
        <f t="shared" si="25"/>
        <v>0</v>
      </c>
      <c r="P174" s="21">
        <f t="shared" si="26"/>
        <v>0.53541539999999999</v>
      </c>
      <c r="Q174" s="109" t="s">
        <v>19</v>
      </c>
      <c r="R174" s="32" t="s">
        <v>449</v>
      </c>
      <c r="S174" s="10" t="s">
        <v>344</v>
      </c>
    </row>
    <row r="175" spans="1:29" ht="317.10000000000002" customHeight="1" thickBot="1" x14ac:dyDescent="0.8">
      <c r="A175" s="20">
        <v>171</v>
      </c>
      <c r="B175" s="414" t="s">
        <v>595</v>
      </c>
      <c r="C175" s="414" t="s">
        <v>511</v>
      </c>
      <c r="D175" s="416">
        <v>30949005778</v>
      </c>
      <c r="E175" s="20" t="s">
        <v>20</v>
      </c>
      <c r="F175" s="20">
        <v>6</v>
      </c>
      <c r="G175" s="21">
        <v>36.396932999999997</v>
      </c>
      <c r="H175" s="21">
        <f>+G175*0.005</f>
        <v>0.18198466499999999</v>
      </c>
      <c r="I175" s="21">
        <v>0</v>
      </c>
      <c r="J175" s="21">
        <v>0</v>
      </c>
      <c r="K175" s="21">
        <f>+G175*(8.5/100)</f>
        <v>3.0937393050000002</v>
      </c>
      <c r="L175" s="22">
        <v>0</v>
      </c>
      <c r="M175" s="21">
        <v>0</v>
      </c>
      <c r="N175" s="21">
        <f>+H175+K175</f>
        <v>3.27572397</v>
      </c>
      <c r="O175" s="21">
        <f>+((I175+J175)+(L175+M175))</f>
        <v>0</v>
      </c>
      <c r="P175" s="21">
        <f>+N175-O175</f>
        <v>3.27572397</v>
      </c>
      <c r="Q175" s="109" t="s">
        <v>19</v>
      </c>
      <c r="R175" s="32" t="s">
        <v>446</v>
      </c>
      <c r="S175" s="10" t="s">
        <v>344</v>
      </c>
    </row>
    <row r="176" spans="1:29" ht="357" customHeight="1" thickBot="1" x14ac:dyDescent="0.8">
      <c r="A176" s="20"/>
      <c r="B176" s="415"/>
      <c r="C176" s="415"/>
      <c r="D176" s="417"/>
      <c r="E176" s="20" t="s">
        <v>21</v>
      </c>
      <c r="F176" s="20">
        <v>6</v>
      </c>
      <c r="G176" s="23">
        <v>7.8060499999999999</v>
      </c>
      <c r="H176" s="23">
        <f>+G176*0.01</f>
        <v>7.8060500000000005E-2</v>
      </c>
      <c r="I176" s="23">
        <v>0</v>
      </c>
      <c r="J176" s="23">
        <v>0</v>
      </c>
      <c r="K176" s="23">
        <f>+G176*(10/100)</f>
        <v>0.78060499999999999</v>
      </c>
      <c r="L176" s="45">
        <v>0</v>
      </c>
      <c r="M176" s="23">
        <v>0</v>
      </c>
      <c r="N176" s="23">
        <f t="shared" si="20"/>
        <v>0.85866549999999997</v>
      </c>
      <c r="O176" s="23">
        <f t="shared" si="25"/>
        <v>0</v>
      </c>
      <c r="P176" s="23">
        <f t="shared" si="26"/>
        <v>0.85866549999999997</v>
      </c>
      <c r="Q176" s="109" t="s">
        <v>19</v>
      </c>
      <c r="R176" s="26" t="s">
        <v>489</v>
      </c>
      <c r="S176" s="10" t="s">
        <v>344</v>
      </c>
    </row>
    <row r="177" spans="1:29" ht="408.95" customHeight="1" thickBot="1" x14ac:dyDescent="0.8">
      <c r="A177" s="20">
        <v>173</v>
      </c>
      <c r="B177" s="19" t="s">
        <v>598</v>
      </c>
      <c r="C177" s="19" t="s">
        <v>511</v>
      </c>
      <c r="D177" s="176">
        <v>252559304866</v>
      </c>
      <c r="E177" s="20" t="s">
        <v>20</v>
      </c>
      <c r="F177" s="20">
        <v>1.5</v>
      </c>
      <c r="G177" s="21">
        <v>4.5993700000000004</v>
      </c>
      <c r="H177" s="21">
        <f t="shared" ref="H177:H183" si="27">+G177*0.005</f>
        <v>2.2996850000000003E-2</v>
      </c>
      <c r="I177" s="21">
        <v>0</v>
      </c>
      <c r="J177" s="21">
        <v>0</v>
      </c>
      <c r="K177" s="21">
        <f t="shared" ref="K177:K183" si="28">+G177*(8.5/100)</f>
        <v>0.39094645000000006</v>
      </c>
      <c r="L177" s="22">
        <v>0</v>
      </c>
      <c r="M177" s="21">
        <v>0</v>
      </c>
      <c r="N177" s="21">
        <f t="shared" si="20"/>
        <v>0.41394330000000007</v>
      </c>
      <c r="O177" s="21">
        <f t="shared" si="25"/>
        <v>0</v>
      </c>
      <c r="P177" s="21">
        <f t="shared" si="26"/>
        <v>0.41394330000000007</v>
      </c>
      <c r="Q177" s="109" t="s">
        <v>19</v>
      </c>
      <c r="R177" s="32" t="s">
        <v>447</v>
      </c>
      <c r="S177" s="10" t="s">
        <v>344</v>
      </c>
    </row>
    <row r="178" spans="1:29" ht="317.10000000000002" customHeight="1" thickBot="1" x14ac:dyDescent="0.8">
      <c r="A178" s="20">
        <v>174</v>
      </c>
      <c r="B178" s="19" t="s">
        <v>599</v>
      </c>
      <c r="C178" s="19" t="s">
        <v>511</v>
      </c>
      <c r="D178" s="176">
        <v>251019007880</v>
      </c>
      <c r="E178" s="20" t="s">
        <v>20</v>
      </c>
      <c r="F178" s="20">
        <v>4.9000000000000004</v>
      </c>
      <c r="G178" s="21">
        <v>21.926255999999999</v>
      </c>
      <c r="H178" s="21">
        <f t="shared" si="27"/>
        <v>0.10963128</v>
      </c>
      <c r="I178" s="21">
        <v>0</v>
      </c>
      <c r="J178" s="21">
        <f>((12+99)*1000)/1000000</f>
        <v>0.111</v>
      </c>
      <c r="K178" s="21">
        <f t="shared" si="28"/>
        <v>1.8637317600000001</v>
      </c>
      <c r="L178" s="22">
        <v>0</v>
      </c>
      <c r="M178" s="21">
        <f>(197+1668)*1000/1000000</f>
        <v>1.865</v>
      </c>
      <c r="N178" s="21">
        <f t="shared" si="20"/>
        <v>1.9733630400000002</v>
      </c>
      <c r="O178" s="21">
        <f t="shared" si="25"/>
        <v>1.976</v>
      </c>
      <c r="P178" s="21">
        <f t="shared" si="26"/>
        <v>-2.6369599999997995E-3</v>
      </c>
      <c r="Q178" s="109" t="s">
        <v>292</v>
      </c>
      <c r="R178" s="26" t="s">
        <v>408</v>
      </c>
      <c r="S178" s="10" t="s">
        <v>282</v>
      </c>
      <c r="T178" s="10" t="s">
        <v>310</v>
      </c>
    </row>
    <row r="179" spans="1:29" ht="317.10000000000002" customHeight="1" thickBot="1" x14ac:dyDescent="0.8">
      <c r="A179" s="20">
        <v>175</v>
      </c>
      <c r="B179" s="19" t="s">
        <v>600</v>
      </c>
      <c r="C179" s="19" t="s">
        <v>511</v>
      </c>
      <c r="D179" s="176">
        <v>251019007000</v>
      </c>
      <c r="E179" s="20" t="s">
        <v>20</v>
      </c>
      <c r="F179" s="20">
        <v>3.7</v>
      </c>
      <c r="G179" s="21">
        <v>0.99306499999999998</v>
      </c>
      <c r="H179" s="21">
        <f t="shared" si="27"/>
        <v>4.9653249999999996E-3</v>
      </c>
      <c r="I179" s="21">
        <v>0</v>
      </c>
      <c r="J179" s="21">
        <f>(5+1)*1000/1000000</f>
        <v>6.0000000000000001E-3</v>
      </c>
      <c r="K179" s="21">
        <f t="shared" si="28"/>
        <v>8.4410525E-2</v>
      </c>
      <c r="L179" s="22">
        <v>0</v>
      </c>
      <c r="M179" s="21">
        <f>(75+11)*1000/1000000</f>
        <v>8.5999999999999993E-2</v>
      </c>
      <c r="N179" s="21">
        <f t="shared" si="20"/>
        <v>8.9375850000000007E-2</v>
      </c>
      <c r="O179" s="21">
        <f t="shared" si="25"/>
        <v>9.1999999999999998E-2</v>
      </c>
      <c r="P179" s="21">
        <f t="shared" si="26"/>
        <v>-2.6241499999999918E-3</v>
      </c>
      <c r="Q179" s="109" t="s">
        <v>284</v>
      </c>
      <c r="R179" s="32" t="s">
        <v>425</v>
      </c>
      <c r="S179" s="10" t="s">
        <v>282</v>
      </c>
      <c r="T179" s="10" t="s">
        <v>310</v>
      </c>
    </row>
    <row r="180" spans="1:29" ht="317.10000000000002" customHeight="1" thickBot="1" x14ac:dyDescent="0.8">
      <c r="A180" s="394">
        <v>176</v>
      </c>
      <c r="B180" s="412" t="s">
        <v>601</v>
      </c>
      <c r="C180" s="414" t="s">
        <v>511</v>
      </c>
      <c r="D180" s="416">
        <v>89000513</v>
      </c>
      <c r="E180" s="20" t="s">
        <v>18</v>
      </c>
      <c r="F180" s="20">
        <v>1.3</v>
      </c>
      <c r="G180" s="23">
        <v>6.7554460000000001</v>
      </c>
      <c r="H180" s="23">
        <f>+G180*0.005</f>
        <v>3.3777229999999998E-2</v>
      </c>
      <c r="I180" s="23">
        <v>0</v>
      </c>
      <c r="J180" s="23">
        <v>0</v>
      </c>
      <c r="K180" s="23">
        <f>+G180*(8.5/100)</f>
        <v>0.57421291000000008</v>
      </c>
      <c r="L180" s="45">
        <v>0</v>
      </c>
      <c r="M180" s="23">
        <v>0</v>
      </c>
      <c r="N180" s="23">
        <f>+H180+K180</f>
        <v>0.60799014000000007</v>
      </c>
      <c r="O180" s="23">
        <f>+((I180+J180)+(L180+M180))</f>
        <v>0</v>
      </c>
      <c r="P180" s="23">
        <f>+N180-O180</f>
        <v>0.60799014000000007</v>
      </c>
      <c r="Q180" s="109" t="s">
        <v>19</v>
      </c>
      <c r="R180" s="26" t="s">
        <v>346</v>
      </c>
      <c r="S180" s="10" t="s">
        <v>344</v>
      </c>
    </row>
    <row r="181" spans="1:29" ht="317.10000000000002" customHeight="1" thickBot="1" x14ac:dyDescent="0.8">
      <c r="A181" s="396"/>
      <c r="B181" s="413"/>
      <c r="C181" s="415"/>
      <c r="D181" s="417"/>
      <c r="E181" s="20" t="s">
        <v>20</v>
      </c>
      <c r="F181" s="20">
        <v>1.5</v>
      </c>
      <c r="G181" s="21">
        <v>10.869918999999999</v>
      </c>
      <c r="H181" s="21">
        <f t="shared" si="27"/>
        <v>5.4349595000000001E-2</v>
      </c>
      <c r="I181" s="21">
        <v>0</v>
      </c>
      <c r="J181" s="21">
        <v>0</v>
      </c>
      <c r="K181" s="21">
        <f t="shared" si="28"/>
        <v>0.92394311500000004</v>
      </c>
      <c r="L181" s="22">
        <v>0</v>
      </c>
      <c r="M181" s="21">
        <v>0</v>
      </c>
      <c r="N181" s="21">
        <f t="shared" si="20"/>
        <v>0.97829271000000007</v>
      </c>
      <c r="O181" s="21">
        <f t="shared" si="25"/>
        <v>0</v>
      </c>
      <c r="P181" s="21">
        <f t="shared" si="26"/>
        <v>0.97829271000000007</v>
      </c>
      <c r="Q181" s="109" t="s">
        <v>19</v>
      </c>
      <c r="R181" s="32" t="s">
        <v>449</v>
      </c>
      <c r="S181" s="10" t="s">
        <v>344</v>
      </c>
    </row>
    <row r="182" spans="1:29" ht="317.10000000000002" customHeight="1" thickBot="1" x14ac:dyDescent="0.8">
      <c r="A182" s="20">
        <v>178</v>
      </c>
      <c r="B182" s="19" t="s">
        <v>602</v>
      </c>
      <c r="C182" s="19" t="s">
        <v>511</v>
      </c>
      <c r="D182" s="176">
        <v>420819006920</v>
      </c>
      <c r="E182" s="20" t="s">
        <v>20</v>
      </c>
      <c r="F182" s="20">
        <v>2</v>
      </c>
      <c r="G182" s="21">
        <v>8.2373200000000004</v>
      </c>
      <c r="H182" s="21">
        <f t="shared" si="27"/>
        <v>4.1186600000000004E-2</v>
      </c>
      <c r="I182" s="21">
        <v>0</v>
      </c>
      <c r="J182" s="21">
        <f>(((37)*1000)/1000000)</f>
        <v>3.6999999999999998E-2</v>
      </c>
      <c r="K182" s="21">
        <f t="shared" si="28"/>
        <v>0.70017220000000013</v>
      </c>
      <c r="L182" s="22">
        <v>0</v>
      </c>
      <c r="M182" s="21">
        <f>(((619)*1000)/1000000)</f>
        <v>0.61899999999999999</v>
      </c>
      <c r="N182" s="21">
        <f t="shared" si="20"/>
        <v>0.7413588000000001</v>
      </c>
      <c r="O182" s="21">
        <f t="shared" si="25"/>
        <v>0.65600000000000003</v>
      </c>
      <c r="P182" s="21">
        <f t="shared" si="26"/>
        <v>8.5358800000000068E-2</v>
      </c>
      <c r="Q182" s="109" t="s">
        <v>284</v>
      </c>
      <c r="R182" s="26" t="s">
        <v>391</v>
      </c>
      <c r="S182" s="10" t="s">
        <v>282</v>
      </c>
      <c r="T182" s="10" t="s">
        <v>283</v>
      </c>
    </row>
    <row r="183" spans="1:29" ht="317.10000000000002" customHeight="1" thickBot="1" x14ac:dyDescent="0.8">
      <c r="A183" s="20">
        <v>180</v>
      </c>
      <c r="B183" s="19" t="s">
        <v>604</v>
      </c>
      <c r="C183" s="19" t="s">
        <v>511</v>
      </c>
      <c r="D183" s="176">
        <v>430019003650</v>
      </c>
      <c r="E183" s="20" t="s">
        <v>20</v>
      </c>
      <c r="F183" s="20">
        <v>5.05</v>
      </c>
      <c r="G183" s="21">
        <v>9.9372000000000007</v>
      </c>
      <c r="H183" s="21">
        <f t="shared" si="27"/>
        <v>4.9686000000000008E-2</v>
      </c>
      <c r="I183" s="21">
        <v>0</v>
      </c>
      <c r="J183" s="21">
        <f>((16+33)*1000/1000000)</f>
        <v>4.9000000000000002E-2</v>
      </c>
      <c r="K183" s="21">
        <f t="shared" si="28"/>
        <v>0.84466200000000013</v>
      </c>
      <c r="L183" s="22">
        <v>0</v>
      </c>
      <c r="M183" s="21">
        <f>((261+545)*1000/1000000)</f>
        <v>0.80600000000000005</v>
      </c>
      <c r="N183" s="21">
        <f t="shared" si="20"/>
        <v>0.89434800000000014</v>
      </c>
      <c r="O183" s="21">
        <f t="shared" si="25"/>
        <v>0.85500000000000009</v>
      </c>
      <c r="P183" s="21">
        <f t="shared" si="26"/>
        <v>3.934800000000005E-2</v>
      </c>
      <c r="Q183" s="109" t="s">
        <v>284</v>
      </c>
      <c r="R183" s="26" t="s">
        <v>356</v>
      </c>
      <c r="S183" s="10" t="s">
        <v>282</v>
      </c>
      <c r="T183" s="10" t="s">
        <v>283</v>
      </c>
    </row>
    <row r="184" spans="1:29" ht="317.10000000000002" customHeight="1" thickBot="1" x14ac:dyDescent="0.8">
      <c r="A184" s="394">
        <v>179</v>
      </c>
      <c r="B184" s="414" t="s">
        <v>603</v>
      </c>
      <c r="C184" s="414" t="s">
        <v>511</v>
      </c>
      <c r="D184" s="416">
        <v>38019025880</v>
      </c>
      <c r="E184" s="20" t="s">
        <v>20</v>
      </c>
      <c r="F184" s="20">
        <v>7</v>
      </c>
      <c r="G184" s="21">
        <v>19.02075</v>
      </c>
      <c r="H184" s="21">
        <f>+G184*0.005</f>
        <v>9.5103750000000001E-2</v>
      </c>
      <c r="I184" s="21">
        <v>0</v>
      </c>
      <c r="J184" s="21">
        <f>((47+46)*1000/1000000)</f>
        <v>9.2999999999999999E-2</v>
      </c>
      <c r="K184" s="21">
        <f>+G184*(8.5/100)</f>
        <v>1.6167637500000001</v>
      </c>
      <c r="L184" s="22">
        <f>(2.26+1.64+1.22+1.5+1.62+0.93+0.96+1.95)</f>
        <v>12.079999999999998</v>
      </c>
      <c r="M184" s="21">
        <f>((784+771)*1000/1000000)</f>
        <v>1.5549999999999999</v>
      </c>
      <c r="N184" s="21">
        <f>+H184+K184</f>
        <v>1.7118675000000001</v>
      </c>
      <c r="O184" s="21">
        <f>+((I184+J184)+(L184+M184))</f>
        <v>13.727999999999998</v>
      </c>
      <c r="P184" s="21">
        <f>+N184-O184</f>
        <v>-12.016132499999998</v>
      </c>
      <c r="Q184" s="109" t="s">
        <v>292</v>
      </c>
      <c r="R184" s="26" t="s">
        <v>33</v>
      </c>
      <c r="S184" s="10" t="s">
        <v>282</v>
      </c>
      <c r="T184" s="10" t="s">
        <v>310</v>
      </c>
    </row>
    <row r="185" spans="1:29" ht="317.10000000000002" customHeight="1" thickBot="1" x14ac:dyDescent="0.8">
      <c r="A185" s="395"/>
      <c r="B185" s="418"/>
      <c r="C185" s="418"/>
      <c r="D185" s="419"/>
      <c r="E185" s="20" t="s">
        <v>21</v>
      </c>
      <c r="F185" s="20">
        <v>7</v>
      </c>
      <c r="G185" s="23">
        <v>45.720359000000002</v>
      </c>
      <c r="H185" s="23">
        <f>+G185*0.01</f>
        <v>0.45720359000000005</v>
      </c>
      <c r="I185" s="23">
        <v>0</v>
      </c>
      <c r="J185" s="23">
        <f>((24+72+45+47+48+49+47+38+44+40)*1000)/1000000</f>
        <v>0.45400000000000001</v>
      </c>
      <c r="K185" s="23">
        <f>+G185*(10/100)</f>
        <v>4.5720359000000004</v>
      </c>
      <c r="L185" s="45">
        <v>0</v>
      </c>
      <c r="M185" s="23">
        <f>((394+564+449+469+480+487+467+378+440+400)*1000)/1000000</f>
        <v>4.5279999999999996</v>
      </c>
      <c r="N185" s="23">
        <f t="shared" si="20"/>
        <v>5.0292394900000001</v>
      </c>
      <c r="O185" s="23">
        <f t="shared" si="25"/>
        <v>4.9819999999999993</v>
      </c>
      <c r="P185" s="23">
        <f t="shared" si="26"/>
        <v>4.7239490000000828E-2</v>
      </c>
      <c r="Q185" s="109" t="s">
        <v>284</v>
      </c>
      <c r="R185" s="26" t="s">
        <v>457</v>
      </c>
      <c r="S185" s="10" t="s">
        <v>282</v>
      </c>
      <c r="T185" s="10" t="s">
        <v>283</v>
      </c>
    </row>
    <row r="186" spans="1:29" ht="317.10000000000002" customHeight="1" thickBot="1" x14ac:dyDescent="0.8">
      <c r="A186" s="395"/>
      <c r="B186" s="418"/>
      <c r="C186" s="418"/>
      <c r="D186" s="419"/>
      <c r="E186" s="58" t="s">
        <v>22</v>
      </c>
      <c r="F186" s="58">
        <v>6.73</v>
      </c>
      <c r="G186" s="60">
        <f>44420827/1000000</f>
        <v>44.420827000000003</v>
      </c>
      <c r="H186" s="60">
        <f>+G186*0.02</f>
        <v>0.88841654000000003</v>
      </c>
      <c r="I186" s="60">
        <v>0</v>
      </c>
      <c r="J186" s="60">
        <f>((84+773)*1000)/1000000</f>
        <v>0.85699999999999998</v>
      </c>
      <c r="K186" s="60">
        <f>+G186*(10.5/100)</f>
        <v>4.6641868349999998</v>
      </c>
      <c r="L186" s="61">
        <v>0</v>
      </c>
      <c r="M186" s="60">
        <f>((441+728+498+419+340+172+499+492+452+448)*1000)/1000000</f>
        <v>4.4889999999999999</v>
      </c>
      <c r="N186" s="60">
        <f t="shared" si="20"/>
        <v>5.5526033749999995</v>
      </c>
      <c r="O186" s="60">
        <f t="shared" si="25"/>
        <v>5.3460000000000001</v>
      </c>
      <c r="P186" s="60">
        <f t="shared" si="26"/>
        <v>0.20660337499999937</v>
      </c>
      <c r="Q186" s="110" t="s">
        <v>19</v>
      </c>
      <c r="R186" s="27" t="s">
        <v>75</v>
      </c>
      <c r="S186" s="7" t="s">
        <v>282</v>
      </c>
      <c r="T186" s="7" t="s">
        <v>283</v>
      </c>
      <c r="U186" s="7"/>
      <c r="V186" s="7"/>
      <c r="W186" s="7"/>
      <c r="X186" s="7"/>
      <c r="Y186" s="7"/>
      <c r="Z186" s="7"/>
      <c r="AA186" s="7"/>
      <c r="AB186" s="7"/>
      <c r="AC186" s="7"/>
    </row>
    <row r="187" spans="1:29" ht="317.10000000000002" customHeight="1" thickBot="1" x14ac:dyDescent="0.8">
      <c r="A187" s="396"/>
      <c r="B187" s="415"/>
      <c r="C187" s="415"/>
      <c r="D187" s="417"/>
      <c r="E187" s="47" t="s">
        <v>24</v>
      </c>
      <c r="F187" s="138">
        <v>6.73</v>
      </c>
      <c r="G187" s="139">
        <v>32.303148999999998</v>
      </c>
      <c r="H187" s="50">
        <f>+G187*(2.75/100)</f>
        <v>0.88833659749999994</v>
      </c>
      <c r="I187" s="50">
        <v>0</v>
      </c>
      <c r="J187" s="148">
        <f>((128+127+128+131+118+79+8+141)*1000)/1000000</f>
        <v>0.86</v>
      </c>
      <c r="K187" s="50">
        <f>+G187*(11/100)</f>
        <v>3.5533463899999997</v>
      </c>
      <c r="L187" s="51">
        <v>0</v>
      </c>
      <c r="M187" s="50">
        <f>((1531+124+868+504+477)*1000)/1000000</f>
        <v>3.504</v>
      </c>
      <c r="N187" s="50">
        <f>+H187+K187</f>
        <v>4.4416829875000001</v>
      </c>
      <c r="O187" s="50">
        <f>+((I187+J187)+(L187+M187))</f>
        <v>4.3639999999999999</v>
      </c>
      <c r="P187" s="50">
        <f>+N187-O187</f>
        <v>7.7682987500000245E-2</v>
      </c>
      <c r="Q187" s="111" t="s">
        <v>496</v>
      </c>
      <c r="R187" s="28" t="s">
        <v>76</v>
      </c>
      <c r="S187" s="7" t="s">
        <v>282</v>
      </c>
      <c r="T187" s="7" t="s">
        <v>283</v>
      </c>
      <c r="U187" s="7"/>
      <c r="V187" s="7"/>
      <c r="W187" s="7"/>
      <c r="X187" s="7"/>
      <c r="Y187" s="7"/>
      <c r="Z187" s="7"/>
      <c r="AA187" s="7"/>
      <c r="AB187" s="7"/>
      <c r="AC187" s="7"/>
    </row>
    <row r="188" spans="1:29" ht="317.10000000000002" customHeight="1" thickBot="1" x14ac:dyDescent="0.8">
      <c r="A188" s="20">
        <v>184</v>
      </c>
      <c r="B188" s="19" t="s">
        <v>605</v>
      </c>
      <c r="C188" s="19" t="s">
        <v>511</v>
      </c>
      <c r="D188" s="176">
        <v>30949005778</v>
      </c>
      <c r="E188" s="20" t="s">
        <v>18</v>
      </c>
      <c r="F188" s="20">
        <v>6</v>
      </c>
      <c r="G188" s="23">
        <v>18.816202000000001</v>
      </c>
      <c r="H188" s="23">
        <f t="shared" ref="H188:H194" si="29">+G188*0.005</f>
        <v>9.4081010000000007E-2</v>
      </c>
      <c r="I188" s="23">
        <v>0</v>
      </c>
      <c r="J188" s="23">
        <v>0</v>
      </c>
      <c r="K188" s="23">
        <f t="shared" ref="K188:K194" si="30">+G188*(8.5/100)</f>
        <v>1.5993771700000001</v>
      </c>
      <c r="L188" s="45">
        <v>0</v>
      </c>
      <c r="M188" s="23">
        <v>0</v>
      </c>
      <c r="N188" s="23">
        <f t="shared" si="20"/>
        <v>1.6934581800000001</v>
      </c>
      <c r="O188" s="23">
        <f t="shared" si="25"/>
        <v>0</v>
      </c>
      <c r="P188" s="23">
        <f t="shared" si="26"/>
        <v>1.6934581800000001</v>
      </c>
      <c r="Q188" s="109" t="s">
        <v>19</v>
      </c>
      <c r="R188" s="26" t="s">
        <v>346</v>
      </c>
      <c r="S188" s="10" t="s">
        <v>344</v>
      </c>
    </row>
    <row r="189" spans="1:29" ht="317.10000000000002" customHeight="1" thickBot="1" x14ac:dyDescent="0.8">
      <c r="A189" s="20">
        <v>185</v>
      </c>
      <c r="B189" s="19" t="s">
        <v>606</v>
      </c>
      <c r="C189" s="19" t="s">
        <v>511</v>
      </c>
      <c r="D189" s="176">
        <v>162019000401</v>
      </c>
      <c r="E189" s="20" t="s">
        <v>20</v>
      </c>
      <c r="F189" s="20">
        <v>9.9809999999999999</v>
      </c>
      <c r="G189" s="21">
        <v>1.4716800000000001</v>
      </c>
      <c r="H189" s="21">
        <f t="shared" si="29"/>
        <v>7.3584000000000011E-3</v>
      </c>
      <c r="I189" s="21">
        <v>0</v>
      </c>
      <c r="J189" s="21">
        <v>7.0000000000000001E-3</v>
      </c>
      <c r="K189" s="21">
        <f t="shared" si="30"/>
        <v>0.1250928</v>
      </c>
      <c r="L189" s="22">
        <v>0</v>
      </c>
      <c r="M189" s="21">
        <v>0.12</v>
      </c>
      <c r="N189" s="21">
        <f t="shared" si="20"/>
        <v>0.13245119999999999</v>
      </c>
      <c r="O189" s="21">
        <f t="shared" si="25"/>
        <v>0.127</v>
      </c>
      <c r="P189" s="21">
        <f t="shared" si="26"/>
        <v>5.4511999999999894E-3</v>
      </c>
      <c r="Q189" s="109" t="s">
        <v>19</v>
      </c>
      <c r="R189" s="26" t="s">
        <v>361</v>
      </c>
      <c r="S189" s="10" t="s">
        <v>282</v>
      </c>
      <c r="T189" s="10" t="s">
        <v>283</v>
      </c>
    </row>
    <row r="190" spans="1:29" ht="317.10000000000002" customHeight="1" thickBot="1" x14ac:dyDescent="0.8">
      <c r="A190" s="394">
        <v>186</v>
      </c>
      <c r="B190" s="414" t="s">
        <v>607</v>
      </c>
      <c r="C190" s="414" t="s">
        <v>511</v>
      </c>
      <c r="D190" s="416">
        <v>138409002376</v>
      </c>
      <c r="E190" s="20" t="s">
        <v>18</v>
      </c>
      <c r="F190" s="20">
        <v>6</v>
      </c>
      <c r="G190" s="23">
        <v>23.636399999999998</v>
      </c>
      <c r="H190" s="23">
        <f t="shared" si="29"/>
        <v>0.118182</v>
      </c>
      <c r="I190" s="23">
        <v>0</v>
      </c>
      <c r="J190" s="23">
        <v>0</v>
      </c>
      <c r="K190" s="23">
        <f t="shared" si="30"/>
        <v>2.0090940000000002</v>
      </c>
      <c r="L190" s="45">
        <v>0</v>
      </c>
      <c r="M190" s="23">
        <v>0</v>
      </c>
      <c r="N190" s="23">
        <f t="shared" si="20"/>
        <v>2.1272760000000002</v>
      </c>
      <c r="O190" s="23">
        <f t="shared" si="25"/>
        <v>0</v>
      </c>
      <c r="P190" s="23">
        <f t="shared" si="26"/>
        <v>2.1272760000000002</v>
      </c>
      <c r="Q190" s="109" t="s">
        <v>19</v>
      </c>
      <c r="R190" s="26" t="s">
        <v>347</v>
      </c>
      <c r="S190" s="10" t="s">
        <v>344</v>
      </c>
    </row>
    <row r="191" spans="1:29" ht="317.10000000000002" customHeight="1" thickBot="1" x14ac:dyDescent="0.8">
      <c r="A191" s="395"/>
      <c r="B191" s="418"/>
      <c r="C191" s="418"/>
      <c r="D191" s="419"/>
      <c r="E191" s="20" t="s">
        <v>20</v>
      </c>
      <c r="F191" s="20">
        <f>6000/1000</f>
        <v>6</v>
      </c>
      <c r="G191" s="21">
        <v>45.509875999999998</v>
      </c>
      <c r="H191" s="21">
        <f>+G191*0.005</f>
        <v>0.22754938</v>
      </c>
      <c r="I191" s="21">
        <v>0</v>
      </c>
      <c r="J191" s="21">
        <v>0</v>
      </c>
      <c r="K191" s="21">
        <f>+G191*(8.5/100)</f>
        <v>3.8683394600000001</v>
      </c>
      <c r="L191" s="22">
        <v>0</v>
      </c>
      <c r="M191" s="21">
        <v>0</v>
      </c>
      <c r="N191" s="21">
        <f>+H191+K191</f>
        <v>4.0958888399999998</v>
      </c>
      <c r="O191" s="21">
        <f>+((I191+J191)+(L191+M191))</f>
        <v>0</v>
      </c>
      <c r="P191" s="21">
        <f>+N191-O191</f>
        <v>4.0958888399999998</v>
      </c>
      <c r="Q191" s="109" t="s">
        <v>284</v>
      </c>
      <c r="R191" s="26" t="s">
        <v>351</v>
      </c>
      <c r="S191" s="10" t="s">
        <v>282</v>
      </c>
      <c r="T191" s="10" t="s">
        <v>283</v>
      </c>
    </row>
    <row r="192" spans="1:29" ht="317.10000000000002" customHeight="1" thickBot="1" x14ac:dyDescent="0.8">
      <c r="A192" s="396"/>
      <c r="B192" s="415"/>
      <c r="C192" s="415"/>
      <c r="D192" s="417"/>
      <c r="E192" s="20" t="s">
        <v>21</v>
      </c>
      <c r="F192" s="20">
        <v>6</v>
      </c>
      <c r="G192" s="20">
        <v>17.309460000000001</v>
      </c>
      <c r="H192" s="23">
        <f>+G192*0.01</f>
        <v>0.17309460000000002</v>
      </c>
      <c r="I192" s="23">
        <v>0</v>
      </c>
      <c r="J192" s="23">
        <v>0</v>
      </c>
      <c r="K192" s="23">
        <f>+G192*(10/100)</f>
        <v>1.7309460000000003</v>
      </c>
      <c r="L192" s="45">
        <v>0</v>
      </c>
      <c r="M192" s="23">
        <v>0</v>
      </c>
      <c r="N192" s="23">
        <f>+H192+K192</f>
        <v>1.9040406000000003</v>
      </c>
      <c r="O192" s="23">
        <f>+((I192+J192)+(L192+M192))</f>
        <v>0</v>
      </c>
      <c r="P192" s="23">
        <f>+N192-O192</f>
        <v>1.9040406000000003</v>
      </c>
      <c r="Q192" s="109" t="s">
        <v>284</v>
      </c>
      <c r="R192" s="32" t="s">
        <v>479</v>
      </c>
      <c r="S192" s="10" t="s">
        <v>282</v>
      </c>
      <c r="T192" s="10" t="s">
        <v>283</v>
      </c>
    </row>
    <row r="193" spans="1:29" ht="317.10000000000002" customHeight="1" thickBot="1" x14ac:dyDescent="0.8">
      <c r="A193" s="20">
        <v>187</v>
      </c>
      <c r="B193" s="414" t="s">
        <v>608</v>
      </c>
      <c r="C193" s="414" t="s">
        <v>511</v>
      </c>
      <c r="D193" s="416">
        <v>138409001220</v>
      </c>
      <c r="E193" s="20" t="s">
        <v>18</v>
      </c>
      <c r="F193" s="20">
        <v>3</v>
      </c>
      <c r="G193" s="23">
        <v>44.702449999999999</v>
      </c>
      <c r="H193" s="23">
        <f t="shared" si="29"/>
        <v>0.22351225</v>
      </c>
      <c r="I193" s="23">
        <v>0</v>
      </c>
      <c r="J193" s="23">
        <v>0</v>
      </c>
      <c r="K193" s="23">
        <f t="shared" si="30"/>
        <v>3.7997082500000001</v>
      </c>
      <c r="L193" s="45">
        <v>0</v>
      </c>
      <c r="M193" s="23">
        <v>0</v>
      </c>
      <c r="N193" s="23">
        <f t="shared" si="20"/>
        <v>4.0232204999999999</v>
      </c>
      <c r="O193" s="23">
        <f t="shared" si="25"/>
        <v>0</v>
      </c>
      <c r="P193" s="23">
        <f t="shared" si="26"/>
        <v>4.0232204999999999</v>
      </c>
      <c r="Q193" s="109" t="s">
        <v>284</v>
      </c>
      <c r="R193" s="32" t="s">
        <v>288</v>
      </c>
      <c r="S193" s="10" t="s">
        <v>282</v>
      </c>
      <c r="T193" s="10" t="s">
        <v>283</v>
      </c>
    </row>
    <row r="194" spans="1:29" ht="317.10000000000002" customHeight="1" thickBot="1" x14ac:dyDescent="0.8">
      <c r="A194" s="20"/>
      <c r="B194" s="418"/>
      <c r="C194" s="418"/>
      <c r="D194" s="419"/>
      <c r="E194" s="20" t="s">
        <v>20</v>
      </c>
      <c r="F194" s="20">
        <v>4.5</v>
      </c>
      <c r="G194" s="21">
        <v>30.715295999999999</v>
      </c>
      <c r="H194" s="21">
        <f t="shared" si="29"/>
        <v>0.15357647999999999</v>
      </c>
      <c r="I194" s="21">
        <v>0</v>
      </c>
      <c r="J194" s="21">
        <v>0</v>
      </c>
      <c r="K194" s="21">
        <f t="shared" si="30"/>
        <v>2.6108001600000001</v>
      </c>
      <c r="L194" s="22">
        <v>0</v>
      </c>
      <c r="M194" s="21">
        <v>0</v>
      </c>
      <c r="N194" s="21">
        <f t="shared" si="20"/>
        <v>2.7643766400000001</v>
      </c>
      <c r="O194" s="21">
        <f t="shared" si="25"/>
        <v>0</v>
      </c>
      <c r="P194" s="21">
        <f t="shared" si="26"/>
        <v>2.7643766400000001</v>
      </c>
      <c r="Q194" s="109" t="s">
        <v>284</v>
      </c>
      <c r="R194" s="32" t="s">
        <v>351</v>
      </c>
      <c r="S194" s="10" t="s">
        <v>282</v>
      </c>
      <c r="T194" s="10" t="s">
        <v>283</v>
      </c>
    </row>
    <row r="195" spans="1:29" ht="317.10000000000002" customHeight="1" thickBot="1" x14ac:dyDescent="0.8">
      <c r="A195" s="20"/>
      <c r="B195" s="415"/>
      <c r="C195" s="415"/>
      <c r="D195" s="417"/>
      <c r="E195" s="20" t="s">
        <v>21</v>
      </c>
      <c r="F195" s="20">
        <v>5.2</v>
      </c>
      <c r="G195" s="20">
        <v>3.72</v>
      </c>
      <c r="H195" s="23">
        <f>+G195*0.01</f>
        <v>3.7200000000000004E-2</v>
      </c>
      <c r="I195" s="23">
        <v>0</v>
      </c>
      <c r="J195" s="23">
        <v>0</v>
      </c>
      <c r="K195" s="23">
        <f>+G195*(10/100)</f>
        <v>0.37200000000000005</v>
      </c>
      <c r="L195" s="45">
        <v>0</v>
      </c>
      <c r="M195" s="23">
        <v>0</v>
      </c>
      <c r="N195" s="23">
        <f>+H195+K195</f>
        <v>0.40920000000000006</v>
      </c>
      <c r="O195" s="23">
        <f>+((I195+J195)+(L195+M195))</f>
        <v>0</v>
      </c>
      <c r="P195" s="23">
        <f>+N195-O195</f>
        <v>0.40920000000000006</v>
      </c>
      <c r="Q195" s="109" t="s">
        <v>284</v>
      </c>
      <c r="R195" s="32" t="s">
        <v>480</v>
      </c>
      <c r="S195" s="10" t="s">
        <v>282</v>
      </c>
      <c r="T195" s="10" t="s">
        <v>283</v>
      </c>
    </row>
    <row r="196" spans="1:29" ht="317.10000000000002" customHeight="1" thickBot="1" x14ac:dyDescent="0.8">
      <c r="A196" s="394">
        <v>192</v>
      </c>
      <c r="B196" s="414" t="s">
        <v>609</v>
      </c>
      <c r="C196" s="414" t="s">
        <v>511</v>
      </c>
      <c r="D196" s="416">
        <v>900039009850</v>
      </c>
      <c r="E196" s="20" t="s">
        <v>18</v>
      </c>
      <c r="F196" s="20">
        <v>1.5</v>
      </c>
      <c r="G196" s="44">
        <v>1.237968</v>
      </c>
      <c r="H196" s="23">
        <f>+G196*0.005</f>
        <v>6.1898400000000003E-3</v>
      </c>
      <c r="I196" s="23">
        <v>0</v>
      </c>
      <c r="J196" s="23">
        <v>5.0000000000000001E-3</v>
      </c>
      <c r="K196" s="23">
        <f>+G196*(8.5/100)</f>
        <v>0.10522728000000001</v>
      </c>
      <c r="L196" s="45">
        <v>0</v>
      </c>
      <c r="M196" s="23">
        <v>9.1999999999999998E-2</v>
      </c>
      <c r="N196" s="23">
        <f t="shared" si="20"/>
        <v>0.11141712000000001</v>
      </c>
      <c r="O196" s="23">
        <f t="shared" si="25"/>
        <v>9.7000000000000003E-2</v>
      </c>
      <c r="P196" s="23">
        <f t="shared" si="26"/>
        <v>1.4417120000000005E-2</v>
      </c>
      <c r="Q196" s="109" t="s">
        <v>284</v>
      </c>
      <c r="R196" s="26" t="s">
        <v>335</v>
      </c>
      <c r="S196" s="10" t="s">
        <v>282</v>
      </c>
      <c r="T196" s="10" t="s">
        <v>283</v>
      </c>
    </row>
    <row r="197" spans="1:29" ht="317.10000000000002" customHeight="1" thickBot="1" x14ac:dyDescent="0.8">
      <c r="A197" s="396"/>
      <c r="B197" s="415"/>
      <c r="C197" s="415"/>
      <c r="D197" s="417"/>
      <c r="E197" s="20" t="s">
        <v>20</v>
      </c>
      <c r="F197" s="20">
        <v>1.5</v>
      </c>
      <c r="G197" s="21">
        <v>14.297027999999999</v>
      </c>
      <c r="H197" s="21">
        <f>+G197*0.005</f>
        <v>7.1485140000000003E-2</v>
      </c>
      <c r="I197" s="21">
        <v>0</v>
      </c>
      <c r="J197" s="21">
        <f>(63)*1000/1000000</f>
        <v>6.3E-2</v>
      </c>
      <c r="K197" s="21">
        <f>+G197*(8.5/100)</f>
        <v>1.2152473800000001</v>
      </c>
      <c r="L197" s="22">
        <v>0</v>
      </c>
      <c r="M197" s="21">
        <f>(1063)*1000/1000000</f>
        <v>1.0629999999999999</v>
      </c>
      <c r="N197" s="21">
        <f>+H197+K197</f>
        <v>1.2867325200000002</v>
      </c>
      <c r="O197" s="21">
        <f>+((I197+J197)+(L197+M197))</f>
        <v>1.1259999999999999</v>
      </c>
      <c r="P197" s="21">
        <f>+N197-O197</f>
        <v>0.16073252000000027</v>
      </c>
      <c r="Q197" s="109" t="s">
        <v>284</v>
      </c>
      <c r="R197" s="32" t="s">
        <v>430</v>
      </c>
      <c r="S197" s="10" t="s">
        <v>282</v>
      </c>
      <c r="T197" s="10" t="s">
        <v>283</v>
      </c>
    </row>
    <row r="198" spans="1:29" ht="317.10000000000002" customHeight="1" thickBot="1" x14ac:dyDescent="0.8">
      <c r="A198" s="20">
        <v>194</v>
      </c>
      <c r="B198" s="19" t="s">
        <v>610</v>
      </c>
      <c r="C198" s="19" t="s">
        <v>511</v>
      </c>
      <c r="D198" s="176">
        <v>91599000246</v>
      </c>
      <c r="E198" s="20" t="s">
        <v>20</v>
      </c>
      <c r="F198" s="20">
        <v>2.8</v>
      </c>
      <c r="G198" s="21">
        <v>15.434627000000001</v>
      </c>
      <c r="H198" s="21">
        <f>+G198*0.005</f>
        <v>7.7173135000000004E-2</v>
      </c>
      <c r="I198" s="21">
        <v>0</v>
      </c>
      <c r="J198" s="21">
        <f>(67)*1000/1000000</f>
        <v>6.7000000000000004E-2</v>
      </c>
      <c r="K198" s="21">
        <f>+G198*(8.5/100)</f>
        <v>1.3119432950000001</v>
      </c>
      <c r="L198" s="22">
        <v>0</v>
      </c>
      <c r="M198" s="21">
        <f>(1138)*1000/1000000</f>
        <v>1.1379999999999999</v>
      </c>
      <c r="N198" s="21">
        <f t="shared" ref="N198:N263" si="31">+H198+K198</f>
        <v>1.3891164300000001</v>
      </c>
      <c r="O198" s="21">
        <f t="shared" si="25"/>
        <v>1.2049999999999998</v>
      </c>
      <c r="P198" s="21">
        <f t="shared" si="26"/>
        <v>0.18411643000000022</v>
      </c>
      <c r="Q198" s="109" t="s">
        <v>284</v>
      </c>
      <c r="R198" s="32" t="s">
        <v>429</v>
      </c>
      <c r="S198" s="10" t="s">
        <v>282</v>
      </c>
      <c r="T198" s="10" t="s">
        <v>283</v>
      </c>
    </row>
    <row r="199" spans="1:29" ht="317.10000000000002" customHeight="1" thickBot="1" x14ac:dyDescent="0.8">
      <c r="A199" s="20">
        <v>195</v>
      </c>
      <c r="B199" s="19" t="s">
        <v>611</v>
      </c>
      <c r="C199" s="19" t="s">
        <v>511</v>
      </c>
      <c r="D199" s="176">
        <v>181029035950</v>
      </c>
      <c r="E199" s="20" t="s">
        <v>20</v>
      </c>
      <c r="F199" s="20">
        <v>1</v>
      </c>
      <c r="G199" s="21">
        <v>7.1752820000000002</v>
      </c>
      <c r="H199" s="21">
        <f>+G199*0.005</f>
        <v>3.5876410000000004E-2</v>
      </c>
      <c r="I199" s="21">
        <v>0</v>
      </c>
      <c r="J199" s="21">
        <f>(12+14+6+5)*1000/1000000</f>
        <v>3.6999999999999998E-2</v>
      </c>
      <c r="K199" s="21">
        <f>+G199*(8.5/100)</f>
        <v>0.60989897000000004</v>
      </c>
      <c r="L199" s="22">
        <v>0</v>
      </c>
      <c r="M199" s="21">
        <f>(200+251+77+83)*1000/1000000</f>
        <v>0.61099999999999999</v>
      </c>
      <c r="N199" s="21">
        <f t="shared" si="31"/>
        <v>0.64577538000000001</v>
      </c>
      <c r="O199" s="21">
        <f t="shared" si="25"/>
        <v>0.64800000000000002</v>
      </c>
      <c r="P199" s="21">
        <f t="shared" si="26"/>
        <v>-2.2246200000000105E-3</v>
      </c>
      <c r="Q199" s="109" t="s">
        <v>284</v>
      </c>
      <c r="R199" s="26" t="s">
        <v>421</v>
      </c>
      <c r="S199" s="10" t="s">
        <v>282</v>
      </c>
      <c r="T199" s="10" t="s">
        <v>310</v>
      </c>
    </row>
    <row r="200" spans="1:29" ht="317.10000000000002" customHeight="1" thickBot="1" x14ac:dyDescent="0.8">
      <c r="A200" s="394">
        <v>196</v>
      </c>
      <c r="B200" s="414" t="s">
        <v>612</v>
      </c>
      <c r="C200" s="414" t="s">
        <v>511</v>
      </c>
      <c r="D200" s="416">
        <v>52789010129</v>
      </c>
      <c r="E200" s="20" t="s">
        <v>20</v>
      </c>
      <c r="F200" s="20">
        <v>24</v>
      </c>
      <c r="G200" s="21">
        <v>138.57684</v>
      </c>
      <c r="H200" s="21">
        <f>+G200*0.005</f>
        <v>0.69288420000000006</v>
      </c>
      <c r="I200" s="21">
        <v>0</v>
      </c>
      <c r="J200" s="21">
        <f>(((162+167+85+82+80+85)*1000)/1000000)</f>
        <v>0.66100000000000003</v>
      </c>
      <c r="K200" s="21">
        <f>+G200*(8.5/100)</f>
        <v>11.779031400000001</v>
      </c>
      <c r="L200" s="22">
        <v>0</v>
      </c>
      <c r="M200" s="21">
        <f>(((1438+1362+1391+1448+2828+2767)*1000)/1000000)</f>
        <v>11.234</v>
      </c>
      <c r="N200" s="21">
        <f t="shared" si="31"/>
        <v>12.471915600000001</v>
      </c>
      <c r="O200" s="21">
        <f t="shared" si="25"/>
        <v>11.895</v>
      </c>
      <c r="P200" s="21">
        <f t="shared" si="26"/>
        <v>0.57691560000000131</v>
      </c>
      <c r="Q200" s="109" t="s">
        <v>284</v>
      </c>
      <c r="R200" s="32" t="s">
        <v>383</v>
      </c>
      <c r="S200" s="10" t="s">
        <v>282</v>
      </c>
      <c r="T200" s="10" t="s">
        <v>283</v>
      </c>
    </row>
    <row r="201" spans="1:29" ht="317.10000000000002" customHeight="1" thickBot="1" x14ac:dyDescent="0.8">
      <c r="A201" s="396"/>
      <c r="B201" s="415"/>
      <c r="C201" s="415"/>
      <c r="D201" s="417"/>
      <c r="E201" s="20" t="s">
        <v>21</v>
      </c>
      <c r="F201" s="20">
        <v>32.5</v>
      </c>
      <c r="G201" s="23">
        <v>186.56439599999999</v>
      </c>
      <c r="H201" s="23">
        <f>+G201*0.01</f>
        <v>1.8656439599999999</v>
      </c>
      <c r="I201" s="23">
        <v>0</v>
      </c>
      <c r="J201" s="23">
        <f>((3+956+219+219+346)*1000)/1000000</f>
        <v>1.7430000000000001</v>
      </c>
      <c r="K201" s="23">
        <f>+G201*(10/100)</f>
        <v>18.656439599999999</v>
      </c>
      <c r="L201" s="45">
        <v>0</v>
      </c>
      <c r="M201" s="23">
        <f>((3374+120+6119+2193+2193+1433+198+1800+26)*1000)/1000000</f>
        <v>17.456</v>
      </c>
      <c r="N201" s="23">
        <f t="shared" si="31"/>
        <v>20.522083559999999</v>
      </c>
      <c r="O201" s="23">
        <f t="shared" si="25"/>
        <v>19.198999999999998</v>
      </c>
      <c r="P201" s="23">
        <f t="shared" si="26"/>
        <v>1.3230835600000006</v>
      </c>
      <c r="Q201" s="109" t="s">
        <v>284</v>
      </c>
      <c r="R201" s="32" t="s">
        <v>77</v>
      </c>
      <c r="S201" s="10" t="s">
        <v>282</v>
      </c>
      <c r="T201" s="10" t="s">
        <v>283</v>
      </c>
    </row>
    <row r="202" spans="1:29" ht="317.10000000000002" customHeight="1" thickBot="1" x14ac:dyDescent="0.8">
      <c r="A202" s="20">
        <v>198</v>
      </c>
      <c r="B202" s="19" t="s">
        <v>613</v>
      </c>
      <c r="C202" s="19" t="s">
        <v>511</v>
      </c>
      <c r="D202" s="176">
        <v>75949022590</v>
      </c>
      <c r="E202" s="20" t="s">
        <v>20</v>
      </c>
      <c r="F202" s="20">
        <v>5</v>
      </c>
      <c r="G202" s="21">
        <v>5.3005079999999998</v>
      </c>
      <c r="H202" s="21">
        <f>+G202*0.005</f>
        <v>2.6502539999999998E-2</v>
      </c>
      <c r="I202" s="21">
        <v>0</v>
      </c>
      <c r="J202" s="21">
        <f>(((6+7+8)*1000)/1000000)</f>
        <v>2.1000000000000001E-2</v>
      </c>
      <c r="K202" s="21">
        <f>+G202*(8.5/100)</f>
        <v>0.45054317999999999</v>
      </c>
      <c r="L202" s="22">
        <v>0</v>
      </c>
      <c r="M202" s="21">
        <f>(((104+119+135)*1000)/1000000)</f>
        <v>0.35799999999999998</v>
      </c>
      <c r="N202" s="21">
        <f t="shared" si="31"/>
        <v>0.47704572000000001</v>
      </c>
      <c r="O202" s="21">
        <f t="shared" si="25"/>
        <v>0.379</v>
      </c>
      <c r="P202" s="21">
        <f t="shared" si="26"/>
        <v>9.8045720000000003E-2</v>
      </c>
      <c r="Q202" s="109" t="s">
        <v>284</v>
      </c>
      <c r="R202" s="32" t="s">
        <v>388</v>
      </c>
      <c r="S202" s="10" t="s">
        <v>282</v>
      </c>
      <c r="T202" s="10" t="s">
        <v>283</v>
      </c>
    </row>
    <row r="203" spans="1:29" ht="317.10000000000002" customHeight="1" thickBot="1" x14ac:dyDescent="0.8">
      <c r="A203" s="394">
        <v>199</v>
      </c>
      <c r="B203" s="414" t="s">
        <v>614</v>
      </c>
      <c r="C203" s="414" t="s">
        <v>511</v>
      </c>
      <c r="D203" s="416">
        <v>75949006646</v>
      </c>
      <c r="E203" s="20" t="s">
        <v>18</v>
      </c>
      <c r="F203" s="20">
        <v>4.3</v>
      </c>
      <c r="G203" s="23">
        <v>2.9691999999999998</v>
      </c>
      <c r="H203" s="23">
        <f>+G203*0.005</f>
        <v>1.4846E-2</v>
      </c>
      <c r="I203" s="23">
        <v>0</v>
      </c>
      <c r="J203" s="23">
        <v>0</v>
      </c>
      <c r="K203" s="23">
        <f>+G203*(8.5/100)</f>
        <v>0.252382</v>
      </c>
      <c r="L203" s="45">
        <v>0</v>
      </c>
      <c r="M203" s="23">
        <v>0</v>
      </c>
      <c r="N203" s="23">
        <f t="shared" si="31"/>
        <v>0.26722800000000002</v>
      </c>
      <c r="O203" s="23">
        <f t="shared" si="25"/>
        <v>0</v>
      </c>
      <c r="P203" s="23">
        <f t="shared" si="26"/>
        <v>0.26722800000000002</v>
      </c>
      <c r="Q203" s="109" t="s">
        <v>19</v>
      </c>
      <c r="R203" s="32" t="s">
        <v>346</v>
      </c>
      <c r="S203" s="10" t="s">
        <v>344</v>
      </c>
    </row>
    <row r="204" spans="1:29" ht="317.10000000000002" customHeight="1" thickBot="1" x14ac:dyDescent="0.8">
      <c r="A204" s="395"/>
      <c r="B204" s="418"/>
      <c r="C204" s="418"/>
      <c r="D204" s="419"/>
      <c r="E204" s="20" t="s">
        <v>20</v>
      </c>
      <c r="F204" s="20">
        <v>15</v>
      </c>
      <c r="G204" s="21">
        <v>35.613675999999998</v>
      </c>
      <c r="H204" s="21">
        <f>+G204*0.005</f>
        <v>0.17806838</v>
      </c>
      <c r="I204" s="21">
        <v>0</v>
      </c>
      <c r="J204" s="21">
        <f>(((30+35+45+51)*1000)/1000000)</f>
        <v>0.161</v>
      </c>
      <c r="K204" s="21">
        <f>+G204*(8.5/100)</f>
        <v>3.02716246</v>
      </c>
      <c r="L204" s="22">
        <v>0</v>
      </c>
      <c r="M204" s="21">
        <f>(((507+600+770+861)*1000)/1000000)</f>
        <v>2.738</v>
      </c>
      <c r="N204" s="21">
        <f>+H204+K204</f>
        <v>3.20523084</v>
      </c>
      <c r="O204" s="21">
        <f>+((I204+J204)+(L204+M204))</f>
        <v>2.899</v>
      </c>
      <c r="P204" s="21">
        <f>+N204-O204</f>
        <v>0.30623084</v>
      </c>
      <c r="Q204" s="109" t="s">
        <v>19</v>
      </c>
      <c r="R204" s="26" t="s">
        <v>78</v>
      </c>
      <c r="S204" s="10" t="s">
        <v>282</v>
      </c>
      <c r="T204" s="10" t="s">
        <v>283</v>
      </c>
    </row>
    <row r="205" spans="1:29" ht="317.10000000000002" customHeight="1" thickBot="1" x14ac:dyDescent="0.8">
      <c r="A205" s="396"/>
      <c r="B205" s="415"/>
      <c r="C205" s="415"/>
      <c r="D205" s="417"/>
      <c r="E205" s="20" t="s">
        <v>21</v>
      </c>
      <c r="F205" s="20">
        <v>7.2</v>
      </c>
      <c r="G205" s="23">
        <v>32.943542000000001</v>
      </c>
      <c r="H205" s="23">
        <f>+G205*0.01</f>
        <v>0.32943542000000003</v>
      </c>
      <c r="I205" s="23">
        <v>0</v>
      </c>
      <c r="J205" s="23">
        <f>((73+21+6+98+104)*1000)/1000000</f>
        <v>0.30199999999999999</v>
      </c>
      <c r="K205" s="23">
        <f>+G205*(10/100)</f>
        <v>3.2943542000000003</v>
      </c>
      <c r="L205" s="45">
        <v>0</v>
      </c>
      <c r="M205" s="23">
        <f>((570+331+94+971+1038)*1000)/1000000</f>
        <v>3.004</v>
      </c>
      <c r="N205" s="23">
        <f t="shared" si="31"/>
        <v>3.6237896200000002</v>
      </c>
      <c r="O205" s="23">
        <f t="shared" si="25"/>
        <v>3.306</v>
      </c>
      <c r="P205" s="23">
        <f t="shared" si="26"/>
        <v>0.31778962000000011</v>
      </c>
      <c r="Q205" s="109" t="s">
        <v>284</v>
      </c>
      <c r="R205" s="26" t="s">
        <v>466</v>
      </c>
      <c r="S205" s="10" t="s">
        <v>282</v>
      </c>
      <c r="T205" s="10" t="s">
        <v>283</v>
      </c>
    </row>
    <row r="206" spans="1:29" ht="317.10000000000002" customHeight="1" thickBot="1" x14ac:dyDescent="0.8">
      <c r="A206" s="20">
        <v>202</v>
      </c>
      <c r="B206" s="414" t="s">
        <v>615</v>
      </c>
      <c r="C206" s="414" t="s">
        <v>511</v>
      </c>
      <c r="D206" s="416">
        <v>32909026270</v>
      </c>
      <c r="E206" s="20" t="s">
        <v>20</v>
      </c>
      <c r="F206" s="20">
        <v>3</v>
      </c>
      <c r="G206" s="21">
        <v>22.035527999999999</v>
      </c>
      <c r="H206" s="21">
        <f>+G206*0.005</f>
        <v>0.11017763999999999</v>
      </c>
      <c r="I206" s="21">
        <v>0</v>
      </c>
      <c r="J206" s="21">
        <f>(92)*1000/1000000</f>
        <v>9.1999999999999998E-2</v>
      </c>
      <c r="K206" s="21">
        <f>+G206*(8.5/100)</f>
        <v>1.87301988</v>
      </c>
      <c r="L206" s="22">
        <v>0</v>
      </c>
      <c r="M206" s="21">
        <f>(1638)*1000/1000000</f>
        <v>1.6379999999999999</v>
      </c>
      <c r="N206" s="21">
        <f t="shared" si="31"/>
        <v>1.98319752</v>
      </c>
      <c r="O206" s="21">
        <f t="shared" si="25"/>
        <v>1.73</v>
      </c>
      <c r="P206" s="21">
        <f t="shared" si="26"/>
        <v>0.25319752000000006</v>
      </c>
      <c r="Q206" s="109" t="s">
        <v>284</v>
      </c>
      <c r="R206" s="32" t="s">
        <v>355</v>
      </c>
      <c r="S206" s="10" t="s">
        <v>282</v>
      </c>
      <c r="T206" s="10" t="s">
        <v>283</v>
      </c>
    </row>
    <row r="207" spans="1:29" ht="317.10000000000002" customHeight="1" thickBot="1" x14ac:dyDescent="0.8">
      <c r="A207" s="20">
        <v>203</v>
      </c>
      <c r="B207" s="418"/>
      <c r="C207" s="418"/>
      <c r="D207" s="419"/>
      <c r="E207" s="20" t="s">
        <v>21</v>
      </c>
      <c r="F207" s="20">
        <v>7</v>
      </c>
      <c r="G207" s="23">
        <v>21.026513000000001</v>
      </c>
      <c r="H207" s="23">
        <f>+G207*0.01</f>
        <v>0.21026513000000002</v>
      </c>
      <c r="I207" s="23">
        <v>0</v>
      </c>
      <c r="J207" s="23">
        <f>((74+73+93+67)*1000)/1000000</f>
        <v>0.307</v>
      </c>
      <c r="K207" s="23">
        <f>+G207*(10/100)</f>
        <v>2.1026513000000002</v>
      </c>
      <c r="L207" s="45">
        <v>0</v>
      </c>
      <c r="M207" s="23">
        <f>((737+729+933+664)*1000)/1000000</f>
        <v>3.0630000000000002</v>
      </c>
      <c r="N207" s="23">
        <f>+H207+K207</f>
        <v>2.3129164300000005</v>
      </c>
      <c r="O207" s="23">
        <f>+((I207+J207)+(L207+M207))</f>
        <v>3.37</v>
      </c>
      <c r="P207" s="23">
        <f>+N207-O207</f>
        <v>-1.0570835699999996</v>
      </c>
      <c r="Q207" s="109" t="s">
        <v>284</v>
      </c>
      <c r="R207" s="32" t="s">
        <v>475</v>
      </c>
      <c r="S207" s="10" t="s">
        <v>282</v>
      </c>
      <c r="T207" s="10" t="s">
        <v>310</v>
      </c>
    </row>
    <row r="208" spans="1:29" ht="317.10000000000002" customHeight="1" thickBot="1" x14ac:dyDescent="0.8">
      <c r="A208" s="20">
        <v>204</v>
      </c>
      <c r="B208" s="418"/>
      <c r="C208" s="418"/>
      <c r="D208" s="419"/>
      <c r="E208" s="58" t="s">
        <v>22</v>
      </c>
      <c r="F208" s="58">
        <v>6</v>
      </c>
      <c r="G208" s="60">
        <f>46304498/1000000</f>
        <v>46.304498000000002</v>
      </c>
      <c r="H208" s="60">
        <f>+G208*0.02</f>
        <v>0.9260899600000001</v>
      </c>
      <c r="I208" s="60">
        <v>0</v>
      </c>
      <c r="J208" s="60">
        <f>(810*1000)/1000000</f>
        <v>0.81</v>
      </c>
      <c r="K208" s="60">
        <f>+G208*(10.5/100)</f>
        <v>4.8619722899999998</v>
      </c>
      <c r="L208" s="61">
        <v>0</v>
      </c>
      <c r="M208" s="60">
        <f>((3959+21+271)*1000)/1000000</f>
        <v>4.2510000000000003</v>
      </c>
      <c r="N208" s="60">
        <f>+H208+K208</f>
        <v>5.7880622499999994</v>
      </c>
      <c r="O208" s="60">
        <f>+((I208+J208)+(L208+M208))</f>
        <v>5.0609999999999999</v>
      </c>
      <c r="P208" s="60">
        <f>+N208-O208</f>
        <v>0.72706224999999947</v>
      </c>
      <c r="Q208" s="110" t="s">
        <v>19</v>
      </c>
      <c r="R208" s="36" t="s">
        <v>79</v>
      </c>
      <c r="S208" s="7" t="s">
        <v>282</v>
      </c>
      <c r="T208" s="7" t="s">
        <v>283</v>
      </c>
      <c r="U208" s="7"/>
      <c r="V208" s="7"/>
      <c r="W208" s="7"/>
      <c r="X208" s="7"/>
      <c r="Y208" s="7"/>
      <c r="Z208" s="7"/>
      <c r="AA208" s="7"/>
      <c r="AB208" s="7"/>
      <c r="AC208" s="7"/>
    </row>
    <row r="209" spans="1:29" ht="317.10000000000002" customHeight="1" thickBot="1" x14ac:dyDescent="0.8">
      <c r="A209" s="20">
        <v>205</v>
      </c>
      <c r="B209" s="418"/>
      <c r="C209" s="418"/>
      <c r="D209" s="419"/>
      <c r="E209" s="47" t="s">
        <v>24</v>
      </c>
      <c r="F209" s="138">
        <v>12.24</v>
      </c>
      <c r="G209" s="139">
        <v>48.931050999999997</v>
      </c>
      <c r="H209" s="50">
        <f>+G209*(2.75/100)</f>
        <v>1.3456039024999999</v>
      </c>
      <c r="I209" s="50">
        <v>0</v>
      </c>
      <c r="J209" s="50">
        <f>((436+502+317)*1000)/1000000</f>
        <v>1.2549999999999999</v>
      </c>
      <c r="K209" s="50">
        <f>+G209*(11/100)</f>
        <v>5.3824156099999998</v>
      </c>
      <c r="L209" s="51">
        <v>0</v>
      </c>
      <c r="M209" s="50">
        <f>((2047+844+2130)*1000)/1000000</f>
        <v>5.0209999999999999</v>
      </c>
      <c r="N209" s="50">
        <f t="shared" si="31"/>
        <v>6.7280195124999995</v>
      </c>
      <c r="O209" s="50">
        <f t="shared" si="25"/>
        <v>6.2759999999999998</v>
      </c>
      <c r="P209" s="50">
        <f t="shared" si="26"/>
        <v>0.45201951249999972</v>
      </c>
      <c r="Q209" s="111" t="s">
        <v>25</v>
      </c>
      <c r="R209" s="28" t="s">
        <v>80</v>
      </c>
      <c r="S209" s="7" t="s">
        <v>282</v>
      </c>
      <c r="T209" s="7" t="s">
        <v>283</v>
      </c>
      <c r="U209" s="7"/>
      <c r="V209" s="7"/>
      <c r="W209" s="7"/>
      <c r="X209" s="7"/>
      <c r="Y209" s="7"/>
      <c r="Z209" s="7"/>
      <c r="AA209" s="7"/>
      <c r="AB209" s="7"/>
      <c r="AC209" s="7"/>
    </row>
    <row r="210" spans="1:29" ht="317.10000000000002" customHeight="1" thickBot="1" x14ac:dyDescent="0.8">
      <c r="A210" s="20">
        <v>206</v>
      </c>
      <c r="B210" s="415"/>
      <c r="C210" s="415"/>
      <c r="D210" s="417"/>
      <c r="E210" s="140" t="s">
        <v>27</v>
      </c>
      <c r="F210" s="53">
        <v>8.5</v>
      </c>
      <c r="G210" s="53">
        <v>60.374958999999997</v>
      </c>
      <c r="H210" s="141">
        <f>+G210*(3.5/100)</f>
        <v>2.113123565</v>
      </c>
      <c r="I210" s="141">
        <v>0</v>
      </c>
      <c r="J210" s="141">
        <f>((689+611+226+517)*1000)/1000000</f>
        <v>2.0430000000000001</v>
      </c>
      <c r="K210" s="141">
        <f>+G210*(11.5/100)</f>
        <v>6.943120285</v>
      </c>
      <c r="L210" s="142">
        <v>0</v>
      </c>
      <c r="M210" s="141">
        <f>((1899+3116+1700)*1000)/1000000</f>
        <v>6.7149999999999999</v>
      </c>
      <c r="N210" s="141">
        <f>+H210+K210</f>
        <v>9.0562438499999995</v>
      </c>
      <c r="O210" s="141">
        <f>+((I210+J210)+(L210+M210))</f>
        <v>8.7579999999999991</v>
      </c>
      <c r="P210" s="141">
        <f>+N210-O210</f>
        <v>0.29824385000000042</v>
      </c>
      <c r="Q210" s="112" t="s">
        <v>497</v>
      </c>
      <c r="R210" s="37" t="s">
        <v>81</v>
      </c>
      <c r="S210" s="7" t="s">
        <v>282</v>
      </c>
      <c r="T210" s="7" t="s">
        <v>283</v>
      </c>
      <c r="U210" s="7"/>
      <c r="V210" s="7"/>
      <c r="W210" s="7"/>
      <c r="X210" s="7"/>
      <c r="Y210" s="7"/>
      <c r="Z210" s="7"/>
      <c r="AA210" s="7"/>
      <c r="AB210" s="7"/>
      <c r="AC210" s="7"/>
    </row>
    <row r="211" spans="1:29" ht="317.10000000000002" customHeight="1" thickBot="1" x14ac:dyDescent="0.8">
      <c r="A211" s="20">
        <v>207</v>
      </c>
      <c r="B211" s="414" t="s">
        <v>616</v>
      </c>
      <c r="C211" s="414" t="s">
        <v>511</v>
      </c>
      <c r="D211" s="416">
        <v>430019002670</v>
      </c>
      <c r="E211" s="20" t="s">
        <v>18</v>
      </c>
      <c r="F211" s="20">
        <v>15</v>
      </c>
      <c r="G211" s="44">
        <v>100.72346</v>
      </c>
      <c r="H211" s="23">
        <f>+G211*0.005</f>
        <v>0.50361730000000005</v>
      </c>
      <c r="I211" s="23">
        <v>0</v>
      </c>
      <c r="J211" s="23">
        <f>(399)*1000/1000000</f>
        <v>0.39900000000000002</v>
      </c>
      <c r="K211" s="23">
        <f>+G211*(8.5/100)</f>
        <v>8.5614941000000009</v>
      </c>
      <c r="L211" s="45">
        <v>0</v>
      </c>
      <c r="M211" s="23">
        <f>(6784)*1000/1000000</f>
        <v>6.7839999999999998</v>
      </c>
      <c r="N211" s="23">
        <f>+H211+K211</f>
        <v>9.065111400000001</v>
      </c>
      <c r="O211" s="23">
        <f>+((I211+J211)+(L211+M211))</f>
        <v>7.1829999999999998</v>
      </c>
      <c r="P211" s="23">
        <f>+N211-O211</f>
        <v>1.8821114000000012</v>
      </c>
      <c r="Q211" s="109" t="s">
        <v>292</v>
      </c>
      <c r="R211" s="26" t="s">
        <v>325</v>
      </c>
      <c r="S211" s="10" t="s">
        <v>282</v>
      </c>
      <c r="T211" s="10" t="s">
        <v>283</v>
      </c>
    </row>
    <row r="212" spans="1:29" ht="317.10000000000002" customHeight="1" thickBot="1" x14ac:dyDescent="0.8">
      <c r="A212" s="20">
        <v>208</v>
      </c>
      <c r="B212" s="415"/>
      <c r="C212" s="415"/>
      <c r="D212" s="417"/>
      <c r="E212" s="20" t="s">
        <v>20</v>
      </c>
      <c r="F212" s="20">
        <v>15</v>
      </c>
      <c r="G212" s="21">
        <v>107.33881599999999</v>
      </c>
      <c r="H212" s="21">
        <f>+G212*0.005</f>
        <v>0.53669407999999996</v>
      </c>
      <c r="I212" s="21">
        <v>0</v>
      </c>
      <c r="J212" s="21">
        <f>((501)*1000/1000000)</f>
        <v>0.501</v>
      </c>
      <c r="K212" s="21">
        <f>+G212*(8.5/100)</f>
        <v>9.1237993599999996</v>
      </c>
      <c r="L212" s="22">
        <v>0</v>
      </c>
      <c r="M212" s="21">
        <f>((8522)*1000/1000000)</f>
        <v>8.5220000000000002</v>
      </c>
      <c r="N212" s="21">
        <f t="shared" si="31"/>
        <v>9.6604934399999998</v>
      </c>
      <c r="O212" s="21">
        <f t="shared" si="25"/>
        <v>9.0229999999999997</v>
      </c>
      <c r="P212" s="21">
        <f t="shared" si="26"/>
        <v>0.63749344000000008</v>
      </c>
      <c r="Q212" s="109" t="s">
        <v>284</v>
      </c>
      <c r="R212" s="26" t="s">
        <v>440</v>
      </c>
      <c r="S212" s="10" t="s">
        <v>282</v>
      </c>
      <c r="T212" s="10" t="s">
        <v>283</v>
      </c>
    </row>
    <row r="213" spans="1:29" ht="317.10000000000002" customHeight="1" thickBot="1" x14ac:dyDescent="0.8">
      <c r="A213" s="20">
        <v>209</v>
      </c>
      <c r="B213" s="57" t="s">
        <v>82</v>
      </c>
      <c r="C213" s="57" t="s">
        <v>511</v>
      </c>
      <c r="D213" s="186">
        <v>3019004642</v>
      </c>
      <c r="E213" s="58" t="s">
        <v>22</v>
      </c>
      <c r="F213" s="58">
        <v>20</v>
      </c>
      <c r="G213" s="60">
        <f>53278833/1000000</f>
        <v>53.278832999999999</v>
      </c>
      <c r="H213" s="60">
        <f>+G213*0.02</f>
        <v>1.0655766600000001</v>
      </c>
      <c r="I213" s="60">
        <v>0</v>
      </c>
      <c r="J213" s="60">
        <f>((987)*1000)/1000000</f>
        <v>0.98699999999999999</v>
      </c>
      <c r="K213" s="60">
        <f>+G213*(10.5/100)</f>
        <v>5.5942774649999993</v>
      </c>
      <c r="L213" s="61">
        <v>0</v>
      </c>
      <c r="M213" s="60">
        <f>((6170)*1000)/1000000</f>
        <v>6.17</v>
      </c>
      <c r="N213" s="60">
        <f>+H213+K213</f>
        <v>6.659854124999999</v>
      </c>
      <c r="O213" s="60">
        <f>+((I213+J213)+(L213+M213))</f>
        <v>7.157</v>
      </c>
      <c r="P213" s="60">
        <f>+N213-O213</f>
        <v>-0.49714587500000107</v>
      </c>
      <c r="Q213" s="110" t="s">
        <v>19</v>
      </c>
      <c r="R213" s="29" t="s">
        <v>83</v>
      </c>
      <c r="S213" s="7" t="s">
        <v>282</v>
      </c>
      <c r="T213" s="7" t="s">
        <v>310</v>
      </c>
      <c r="U213" s="7"/>
      <c r="V213" s="7"/>
      <c r="W213" s="7"/>
      <c r="X213" s="7"/>
      <c r="Y213" s="7"/>
      <c r="Z213" s="7"/>
      <c r="AA213" s="7"/>
      <c r="AB213" s="7"/>
      <c r="AC213" s="7"/>
    </row>
    <row r="214" spans="1:29" ht="407.1" customHeight="1" thickBot="1" x14ac:dyDescent="0.8">
      <c r="A214" s="20"/>
      <c r="B214" s="46"/>
      <c r="C214" s="46"/>
      <c r="D214" s="187"/>
      <c r="E214" s="47" t="s">
        <v>24</v>
      </c>
      <c r="F214" s="47">
        <v>20</v>
      </c>
      <c r="G214" s="143">
        <v>172.50329500000001</v>
      </c>
      <c r="H214" s="50">
        <f>+G214*(2.75/100)</f>
        <v>4.7438406125000006</v>
      </c>
      <c r="I214" s="50">
        <v>0</v>
      </c>
      <c r="J214" s="50">
        <v>0</v>
      </c>
      <c r="K214" s="50">
        <f>+G214*(11/100)</f>
        <v>18.975362450000002</v>
      </c>
      <c r="L214" s="51">
        <v>0</v>
      </c>
      <c r="M214" s="50">
        <v>0</v>
      </c>
      <c r="N214" s="50">
        <f t="shared" si="31"/>
        <v>23.719203062500004</v>
      </c>
      <c r="O214" s="50">
        <f t="shared" si="25"/>
        <v>0</v>
      </c>
      <c r="P214" s="50">
        <f t="shared" si="26"/>
        <v>23.719203062500004</v>
      </c>
      <c r="Q214" s="111" t="s">
        <v>497</v>
      </c>
      <c r="R214" s="28" t="s">
        <v>84</v>
      </c>
      <c r="S214" s="7" t="s">
        <v>344</v>
      </c>
      <c r="T214" s="7"/>
      <c r="U214" s="7"/>
      <c r="V214" s="7"/>
      <c r="W214" s="7"/>
      <c r="X214" s="7"/>
      <c r="Y214" s="7"/>
      <c r="Z214" s="7"/>
      <c r="AA214" s="7"/>
      <c r="AB214" s="7"/>
      <c r="AC214" s="7"/>
    </row>
    <row r="215" spans="1:29" ht="365.1" customHeight="1" thickBot="1" x14ac:dyDescent="0.8">
      <c r="A215" s="20"/>
      <c r="B215" s="52"/>
      <c r="C215" s="52"/>
      <c r="D215" s="189"/>
      <c r="E215" s="53" t="s">
        <v>27</v>
      </c>
      <c r="F215" s="140">
        <v>27</v>
      </c>
      <c r="G215" s="141">
        <f>191516606/1000000</f>
        <v>191.516606</v>
      </c>
      <c r="H215" s="141">
        <f>+G215*(3.5/100)</f>
        <v>6.7030812100000006</v>
      </c>
      <c r="I215" s="141">
        <v>0</v>
      </c>
      <c r="J215" s="141">
        <v>0</v>
      </c>
      <c r="K215" s="141">
        <f>+G215*(11.5/100)</f>
        <v>22.024409689999999</v>
      </c>
      <c r="L215" s="142">
        <v>0</v>
      </c>
      <c r="M215" s="141">
        <v>0</v>
      </c>
      <c r="N215" s="141">
        <f t="shared" si="31"/>
        <v>28.727490899999999</v>
      </c>
      <c r="O215" s="141">
        <f t="shared" si="25"/>
        <v>0</v>
      </c>
      <c r="P215" s="141">
        <f t="shared" si="26"/>
        <v>28.727490899999999</v>
      </c>
      <c r="Q215" s="112" t="s">
        <v>25</v>
      </c>
      <c r="R215" s="38" t="s">
        <v>85</v>
      </c>
      <c r="S215" s="7" t="s">
        <v>344</v>
      </c>
      <c r="T215" s="7"/>
      <c r="U215" s="7"/>
      <c r="V215" s="7"/>
      <c r="W215" s="7"/>
      <c r="X215" s="7"/>
      <c r="Y215" s="7"/>
      <c r="Z215" s="7"/>
      <c r="AA215" s="7"/>
      <c r="AB215" s="7"/>
      <c r="AC215" s="7"/>
    </row>
    <row r="216" spans="1:29" ht="317.10000000000002" customHeight="1" thickBot="1" x14ac:dyDescent="0.8">
      <c r="A216" s="394">
        <v>212</v>
      </c>
      <c r="B216" s="394" t="s">
        <v>617</v>
      </c>
      <c r="C216" s="394" t="s">
        <v>511</v>
      </c>
      <c r="D216" s="409" t="s">
        <v>618</v>
      </c>
      <c r="E216" s="20" t="s">
        <v>18</v>
      </c>
      <c r="F216" s="20">
        <v>15.1</v>
      </c>
      <c r="G216" s="23">
        <v>73.440875000000005</v>
      </c>
      <c r="H216" s="23">
        <f>+G216*0.005</f>
        <v>0.36720437500000003</v>
      </c>
      <c r="I216" s="23">
        <v>0</v>
      </c>
      <c r="J216" s="23">
        <f>360/1000</f>
        <v>0.36</v>
      </c>
      <c r="K216" s="23">
        <f>+G216*(8.5/100)</f>
        <v>6.2424743750000014</v>
      </c>
      <c r="L216" s="45">
        <v>0</v>
      </c>
      <c r="M216" s="23">
        <f>6110/1000</f>
        <v>6.11</v>
      </c>
      <c r="N216" s="23">
        <f>+H216+K216</f>
        <v>6.6096787500000014</v>
      </c>
      <c r="O216" s="23">
        <f>+((I216+J216)+(L216+M216))</f>
        <v>6.4700000000000006</v>
      </c>
      <c r="P216" s="23">
        <f>+N216-O216</f>
        <v>0.13967875000000074</v>
      </c>
      <c r="Q216" s="109" t="s">
        <v>284</v>
      </c>
      <c r="R216" s="26" t="s">
        <v>340</v>
      </c>
      <c r="S216" s="10" t="s">
        <v>282</v>
      </c>
      <c r="T216" s="10" t="s">
        <v>283</v>
      </c>
    </row>
    <row r="217" spans="1:29" ht="317.10000000000002" customHeight="1" thickBot="1" x14ac:dyDescent="0.8">
      <c r="A217" s="395"/>
      <c r="B217" s="395"/>
      <c r="C217" s="395"/>
      <c r="D217" s="410"/>
      <c r="E217" s="20" t="s">
        <v>20</v>
      </c>
      <c r="F217" s="20">
        <v>10</v>
      </c>
      <c r="G217" s="21">
        <v>80.066125</v>
      </c>
      <c r="H217" s="21">
        <f>+G217*0.005</f>
        <v>0.400330625</v>
      </c>
      <c r="I217" s="21">
        <v>0</v>
      </c>
      <c r="J217" s="21">
        <f>(379*1000/1000000)</f>
        <v>0.379</v>
      </c>
      <c r="K217" s="21">
        <f>+G217*(8.5/100)</f>
        <v>6.8056206250000004</v>
      </c>
      <c r="L217" s="22">
        <v>0</v>
      </c>
      <c r="M217" s="21">
        <f>(6442*1000/1000000)</f>
        <v>6.4420000000000002</v>
      </c>
      <c r="N217" s="21">
        <f>+H217+K217</f>
        <v>7.20595125</v>
      </c>
      <c r="O217" s="21">
        <f>+((I217+J217)+(L217+M217))</f>
        <v>6.8209999999999997</v>
      </c>
      <c r="P217" s="21">
        <f>+N217-O217</f>
        <v>0.3849512500000003</v>
      </c>
      <c r="Q217" s="109" t="s">
        <v>284</v>
      </c>
      <c r="R217" s="26" t="s">
        <v>419</v>
      </c>
      <c r="S217" s="10" t="s">
        <v>282</v>
      </c>
      <c r="T217" s="10" t="s">
        <v>283</v>
      </c>
    </row>
    <row r="218" spans="1:29" ht="317.10000000000002" customHeight="1" thickBot="1" x14ac:dyDescent="0.8">
      <c r="A218" s="395"/>
      <c r="B218" s="395"/>
      <c r="C218" s="395"/>
      <c r="D218" s="410"/>
      <c r="E218" s="20" t="s">
        <v>21</v>
      </c>
      <c r="F218" s="20">
        <v>11.5</v>
      </c>
      <c r="G218" s="23">
        <v>90.908749999999998</v>
      </c>
      <c r="H218" s="23">
        <f>+G218*0.01</f>
        <v>0.90908750000000005</v>
      </c>
      <c r="I218" s="23">
        <f>(0.186+0.221)</f>
        <v>0.40700000000000003</v>
      </c>
      <c r="J218" s="23">
        <f>((375+50)*1000)/1000000</f>
        <v>0.42499999999999999</v>
      </c>
      <c r="K218" s="23">
        <f>+G218*(10/100)</f>
        <v>9.0908750000000005</v>
      </c>
      <c r="L218" s="45">
        <v>0</v>
      </c>
      <c r="M218" s="23">
        <f>((3749+499)*1000)/1000000</f>
        <v>4.2480000000000002</v>
      </c>
      <c r="N218" s="23">
        <f t="shared" si="31"/>
        <v>9.9999625000000005</v>
      </c>
      <c r="O218" s="23">
        <f t="shared" si="25"/>
        <v>5.08</v>
      </c>
      <c r="P218" s="23">
        <f t="shared" si="26"/>
        <v>4.9199625000000005</v>
      </c>
      <c r="Q218" s="109" t="s">
        <v>284</v>
      </c>
      <c r="R218" s="26" t="s">
        <v>459</v>
      </c>
      <c r="S218" s="10" t="s">
        <v>282</v>
      </c>
      <c r="T218" s="10" t="s">
        <v>283</v>
      </c>
    </row>
    <row r="219" spans="1:29" ht="317.10000000000002" customHeight="1" thickBot="1" x14ac:dyDescent="0.8">
      <c r="A219" s="395"/>
      <c r="B219" s="395"/>
      <c r="C219" s="395"/>
      <c r="D219" s="410"/>
      <c r="E219" s="58" t="s">
        <v>22</v>
      </c>
      <c r="F219" s="58">
        <v>11.5</v>
      </c>
      <c r="G219" s="60">
        <f>89716925/1000000</f>
        <v>89.716925000000003</v>
      </c>
      <c r="H219" s="60">
        <f>+G219*0.02</f>
        <v>1.7943385000000001</v>
      </c>
      <c r="I219" s="60">
        <v>0</v>
      </c>
      <c r="J219" s="60">
        <f>(1671*1000)/1000000</f>
        <v>1.671</v>
      </c>
      <c r="K219" s="60">
        <f>+G219*(10.5/100)</f>
        <v>9.4202771250000001</v>
      </c>
      <c r="L219" s="61">
        <v>0</v>
      </c>
      <c r="M219" s="60">
        <f>((8142+629)*1000)/1000000</f>
        <v>8.7710000000000008</v>
      </c>
      <c r="N219" s="60">
        <f t="shared" si="31"/>
        <v>11.214615625</v>
      </c>
      <c r="O219" s="60">
        <f t="shared" si="25"/>
        <v>10.442</v>
      </c>
      <c r="P219" s="60">
        <f t="shared" si="26"/>
        <v>0.77261562500000025</v>
      </c>
      <c r="Q219" s="110" t="s">
        <v>19</v>
      </c>
      <c r="R219" s="27" t="s">
        <v>86</v>
      </c>
      <c r="S219" s="7" t="s">
        <v>282</v>
      </c>
      <c r="T219" s="7" t="s">
        <v>283</v>
      </c>
      <c r="U219" s="7"/>
      <c r="V219" s="7"/>
      <c r="W219" s="7"/>
      <c r="X219" s="7"/>
      <c r="Y219" s="7"/>
      <c r="Z219" s="7"/>
      <c r="AA219" s="7"/>
      <c r="AB219" s="7"/>
      <c r="AC219" s="7"/>
    </row>
    <row r="220" spans="1:29" ht="317.10000000000002" customHeight="1" thickBot="1" x14ac:dyDescent="0.8">
      <c r="A220" s="395"/>
      <c r="B220" s="395"/>
      <c r="C220" s="395"/>
      <c r="D220" s="410"/>
      <c r="E220" s="47" t="s">
        <v>24</v>
      </c>
      <c r="F220" s="47">
        <v>11.05</v>
      </c>
      <c r="G220" s="143">
        <v>86.658973000000003</v>
      </c>
      <c r="H220" s="50">
        <f>+G220*(2.75/100)</f>
        <v>2.3831217575000001</v>
      </c>
      <c r="I220" s="50">
        <v>0</v>
      </c>
      <c r="J220" s="50">
        <f>((723+1306+1)*1000)/1000000</f>
        <v>2.0299999999999998</v>
      </c>
      <c r="K220" s="50">
        <f>+G220*(11/100)</f>
        <v>9.5324870300000004</v>
      </c>
      <c r="L220" s="51">
        <v>0</v>
      </c>
      <c r="M220" s="50">
        <f>((1452+6482)*1000)/1000000</f>
        <v>7.9340000000000002</v>
      </c>
      <c r="N220" s="50">
        <f t="shared" si="31"/>
        <v>11.9156087875</v>
      </c>
      <c r="O220" s="50">
        <f t="shared" si="25"/>
        <v>9.9640000000000004</v>
      </c>
      <c r="P220" s="50">
        <f t="shared" si="26"/>
        <v>1.9516087874999997</v>
      </c>
      <c r="Q220" s="111" t="s">
        <v>496</v>
      </c>
      <c r="R220" s="28" t="s">
        <v>87</v>
      </c>
      <c r="S220" s="7" t="s">
        <v>282</v>
      </c>
      <c r="T220" s="7" t="s">
        <v>283</v>
      </c>
      <c r="U220" s="7"/>
      <c r="V220" s="7"/>
      <c r="W220" s="7"/>
      <c r="X220" s="7"/>
      <c r="Y220" s="7"/>
      <c r="Z220" s="7"/>
      <c r="AA220" s="7"/>
      <c r="AB220" s="7"/>
      <c r="AC220" s="7"/>
    </row>
    <row r="221" spans="1:29" ht="317.10000000000002" customHeight="1" thickBot="1" x14ac:dyDescent="0.8">
      <c r="A221" s="396"/>
      <c r="B221" s="396"/>
      <c r="C221" s="396"/>
      <c r="D221" s="411"/>
      <c r="E221" s="53" t="s">
        <v>27</v>
      </c>
      <c r="F221" s="140">
        <v>11.5</v>
      </c>
      <c r="G221" s="141">
        <f>84014081/1000000</f>
        <v>84.014081000000004</v>
      </c>
      <c r="H221" s="141">
        <f>+G221*(3.5/100)</f>
        <v>2.9404928350000006</v>
      </c>
      <c r="I221" s="141">
        <v>0</v>
      </c>
      <c r="J221" s="141">
        <f>((0)*1000)/1000000</f>
        <v>0</v>
      </c>
      <c r="K221" s="141">
        <f>+G221*(11.5/100)</f>
        <v>9.6616193150000012</v>
      </c>
      <c r="L221" s="142">
        <v>0</v>
      </c>
      <c r="M221" s="141">
        <f>((0)*1000)/1000000</f>
        <v>0</v>
      </c>
      <c r="N221" s="141">
        <f t="shared" si="31"/>
        <v>12.602112150000002</v>
      </c>
      <c r="O221" s="141">
        <f t="shared" si="25"/>
        <v>0</v>
      </c>
      <c r="P221" s="54">
        <f t="shared" si="26"/>
        <v>12.602112150000002</v>
      </c>
      <c r="Q221" s="112" t="s">
        <v>497</v>
      </c>
      <c r="R221" s="38" t="s">
        <v>85</v>
      </c>
      <c r="S221" s="7" t="s">
        <v>344</v>
      </c>
      <c r="T221" s="7"/>
      <c r="U221" s="7"/>
      <c r="V221" s="7"/>
      <c r="W221" s="7"/>
      <c r="X221" s="7"/>
      <c r="Y221" s="7"/>
      <c r="Z221" s="7"/>
      <c r="AA221" s="7"/>
      <c r="AB221" s="7"/>
      <c r="AC221" s="7"/>
    </row>
    <row r="222" spans="1:29" ht="317.10000000000002" customHeight="1" thickBot="1" x14ac:dyDescent="0.8">
      <c r="A222" s="394">
        <v>218</v>
      </c>
      <c r="B222" s="425" t="s">
        <v>90</v>
      </c>
      <c r="C222" s="414" t="s">
        <v>511</v>
      </c>
      <c r="D222" s="416">
        <v>430019002670</v>
      </c>
      <c r="E222" s="20" t="s">
        <v>21</v>
      </c>
      <c r="F222" s="20">
        <v>15</v>
      </c>
      <c r="G222" s="23">
        <v>116.228725</v>
      </c>
      <c r="H222" s="23">
        <f>+G222*0.01</f>
        <v>1.1622872500000001</v>
      </c>
      <c r="I222" s="23">
        <f>(0.11995+0.22255)</f>
        <v>0.34250000000000003</v>
      </c>
      <c r="J222" s="23">
        <f>((473+64)*1000)/1000000</f>
        <v>0.53700000000000003</v>
      </c>
      <c r="K222" s="23">
        <f>+G222*(10/100)</f>
        <v>11.6228725</v>
      </c>
      <c r="L222" s="45">
        <v>0</v>
      </c>
      <c r="M222" s="23">
        <f>((4732+641)*1000)/1000000</f>
        <v>5.3730000000000002</v>
      </c>
      <c r="N222" s="23">
        <f>+H222+K222</f>
        <v>12.78515975</v>
      </c>
      <c r="O222" s="23">
        <f>+((I222+J222)+(L222+M222))</f>
        <v>6.2525000000000004</v>
      </c>
      <c r="P222" s="23">
        <f>+N222-O222</f>
        <v>6.5326597499999997</v>
      </c>
      <c r="Q222" s="109" t="s">
        <v>284</v>
      </c>
      <c r="R222" s="26" t="s">
        <v>471</v>
      </c>
      <c r="S222" s="10" t="s">
        <v>282</v>
      </c>
      <c r="T222" s="10" t="s">
        <v>283</v>
      </c>
    </row>
    <row r="223" spans="1:29" ht="317.10000000000002" customHeight="1" thickBot="1" x14ac:dyDescent="0.8">
      <c r="A223" s="395"/>
      <c r="B223" s="426"/>
      <c r="C223" s="418"/>
      <c r="D223" s="419"/>
      <c r="E223" s="58" t="s">
        <v>22</v>
      </c>
      <c r="F223" s="59">
        <v>15</v>
      </c>
      <c r="G223" s="60">
        <f>116986825/1000000</f>
        <v>116.986825</v>
      </c>
      <c r="H223" s="60">
        <f>+G223*0.02</f>
        <v>2.3397364999999999</v>
      </c>
      <c r="I223" s="60">
        <v>0</v>
      </c>
      <c r="J223" s="60">
        <f>(2153*1000)/1000000</f>
        <v>2.153</v>
      </c>
      <c r="K223" s="60">
        <f>+G223*(10.5/100)</f>
        <v>12.283616624999999</v>
      </c>
      <c r="L223" s="61">
        <v>0</v>
      </c>
      <c r="M223" s="60">
        <f>((811+10491)*1000)/1000000</f>
        <v>11.302</v>
      </c>
      <c r="N223" s="60">
        <f>+H223+K223</f>
        <v>14.623353124999998</v>
      </c>
      <c r="O223" s="60">
        <f>+((I223+J223)+(L223+M223))</f>
        <v>13.455</v>
      </c>
      <c r="P223" s="60">
        <f>+N223-O223</f>
        <v>1.1683531249999977</v>
      </c>
      <c r="Q223" s="110" t="s">
        <v>284</v>
      </c>
      <c r="R223" s="27" t="s">
        <v>88</v>
      </c>
      <c r="S223" s="7" t="s">
        <v>282</v>
      </c>
      <c r="T223" s="7" t="s">
        <v>283</v>
      </c>
      <c r="U223" s="7"/>
      <c r="V223" s="7"/>
      <c r="W223" s="7"/>
      <c r="X223" s="7"/>
      <c r="Y223" s="7"/>
      <c r="Z223" s="7"/>
      <c r="AA223" s="7"/>
      <c r="AB223" s="7"/>
      <c r="AC223" s="7"/>
    </row>
    <row r="224" spans="1:29" ht="317.10000000000002" customHeight="1" thickBot="1" x14ac:dyDescent="0.8">
      <c r="A224" s="395"/>
      <c r="B224" s="426"/>
      <c r="C224" s="418"/>
      <c r="D224" s="419"/>
      <c r="E224" s="47" t="s">
        <v>24</v>
      </c>
      <c r="F224" s="138">
        <v>14.505000000000001</v>
      </c>
      <c r="G224" s="139">
        <v>118.947935</v>
      </c>
      <c r="H224" s="50">
        <f>+G224*(2.75/100)</f>
        <v>3.2710682124999999</v>
      </c>
      <c r="I224" s="50">
        <v>0</v>
      </c>
      <c r="J224" s="50">
        <f>((985+1768+2)*1000)/1000000</f>
        <v>2.7549999999999999</v>
      </c>
      <c r="K224" s="50">
        <f>+G224*(11/100)</f>
        <v>13.08427285</v>
      </c>
      <c r="L224" s="51">
        <v>0</v>
      </c>
      <c r="M224" s="50">
        <f>((1995+8776)*1000)/1000000</f>
        <v>10.771000000000001</v>
      </c>
      <c r="N224" s="50">
        <f t="shared" si="31"/>
        <v>16.355341062499999</v>
      </c>
      <c r="O224" s="50">
        <f t="shared" si="25"/>
        <v>13.526</v>
      </c>
      <c r="P224" s="50">
        <f t="shared" si="26"/>
        <v>2.8293410624999993</v>
      </c>
      <c r="Q224" s="111" t="s">
        <v>496</v>
      </c>
      <c r="R224" s="28" t="s">
        <v>89</v>
      </c>
      <c r="S224" s="7" t="s">
        <v>282</v>
      </c>
      <c r="T224" s="7" t="s">
        <v>283</v>
      </c>
      <c r="U224" s="7"/>
      <c r="V224" s="7"/>
      <c r="W224" s="7"/>
      <c r="X224" s="7"/>
      <c r="Y224" s="7"/>
      <c r="Z224" s="7"/>
      <c r="AA224" s="7"/>
      <c r="AB224" s="7"/>
      <c r="AC224" s="7"/>
    </row>
    <row r="225" spans="1:29" ht="317.10000000000002" customHeight="1" thickBot="1" x14ac:dyDescent="0.8">
      <c r="A225" s="396"/>
      <c r="B225" s="427"/>
      <c r="C225" s="415"/>
      <c r="D225" s="417"/>
      <c r="E225" s="53" t="s">
        <v>27</v>
      </c>
      <c r="F225" s="140">
        <v>14.505000000000001</v>
      </c>
      <c r="G225" s="141">
        <f>120478775/1000000</f>
        <v>120.478775</v>
      </c>
      <c r="H225" s="141">
        <f>+G225*(3.5/100)</f>
        <v>4.216757125</v>
      </c>
      <c r="I225" s="141">
        <v>0</v>
      </c>
      <c r="J225" s="141">
        <f>((0)*1000)/1000000</f>
        <v>0</v>
      </c>
      <c r="K225" s="141">
        <f>+G225*(11.5/100)</f>
        <v>13.855059125</v>
      </c>
      <c r="L225" s="142">
        <v>0</v>
      </c>
      <c r="M225" s="141">
        <f>((0)*1000)/1000000</f>
        <v>0</v>
      </c>
      <c r="N225" s="141">
        <f t="shared" si="31"/>
        <v>18.071816250000001</v>
      </c>
      <c r="O225" s="141">
        <f t="shared" si="25"/>
        <v>0</v>
      </c>
      <c r="P225" s="54">
        <f t="shared" si="26"/>
        <v>18.071816250000001</v>
      </c>
      <c r="Q225" s="112" t="s">
        <v>25</v>
      </c>
      <c r="R225" s="38" t="s">
        <v>85</v>
      </c>
      <c r="S225" s="7" t="s">
        <v>344</v>
      </c>
      <c r="T225" s="7"/>
      <c r="U225" s="7"/>
      <c r="V225" s="7"/>
      <c r="W225" s="7"/>
      <c r="X225" s="7"/>
      <c r="Y225" s="7"/>
      <c r="Z225" s="7"/>
      <c r="AA225" s="7"/>
      <c r="AB225" s="7"/>
      <c r="AC225" s="7"/>
    </row>
    <row r="226" spans="1:29" ht="317.10000000000002" customHeight="1" thickBot="1" x14ac:dyDescent="0.8">
      <c r="A226" s="394">
        <v>222</v>
      </c>
      <c r="B226" s="414" t="s">
        <v>619</v>
      </c>
      <c r="C226" s="414" t="s">
        <v>511</v>
      </c>
      <c r="D226" s="416">
        <v>32949018554</v>
      </c>
      <c r="E226" s="20" t="s">
        <v>18</v>
      </c>
      <c r="F226" s="20">
        <v>260</v>
      </c>
      <c r="G226" s="23">
        <v>2186.7651759999999</v>
      </c>
      <c r="H226" s="23">
        <f>+G226*0.005</f>
        <v>10.933825879999999</v>
      </c>
      <c r="I226" s="23">
        <v>0</v>
      </c>
      <c r="J226" s="23">
        <v>0</v>
      </c>
      <c r="K226" s="23">
        <f>+G226*(8.5/100)</f>
        <v>185.87503996000001</v>
      </c>
      <c r="L226" s="45">
        <v>0</v>
      </c>
      <c r="M226" s="23">
        <v>0</v>
      </c>
      <c r="N226" s="23">
        <f>+H226+K226</f>
        <v>196.80886584000001</v>
      </c>
      <c r="O226" s="23">
        <f>+((I226+J226)+(L226+M226))</f>
        <v>0</v>
      </c>
      <c r="P226" s="23">
        <f>+N226-O226</f>
        <v>196.80886584000001</v>
      </c>
      <c r="Q226" s="109" t="s">
        <v>284</v>
      </c>
      <c r="R226" s="26" t="s">
        <v>341</v>
      </c>
      <c r="S226" s="10" t="s">
        <v>282</v>
      </c>
      <c r="T226" s="10" t="s">
        <v>283</v>
      </c>
    </row>
    <row r="227" spans="1:29" ht="317.10000000000002" customHeight="1" thickBot="1" x14ac:dyDescent="0.8">
      <c r="A227" s="395"/>
      <c r="B227" s="418"/>
      <c r="C227" s="418"/>
      <c r="D227" s="419"/>
      <c r="E227" s="20" t="s">
        <v>20</v>
      </c>
      <c r="F227" s="20">
        <v>300</v>
      </c>
      <c r="G227" s="21">
        <v>1838.404996</v>
      </c>
      <c r="H227" s="21">
        <f>+G227*0.005</f>
        <v>9.1920249799999993</v>
      </c>
      <c r="I227" s="21">
        <v>0</v>
      </c>
      <c r="J227" s="21">
        <v>0</v>
      </c>
      <c r="K227" s="21">
        <f>+G227*(8.5/100)</f>
        <v>156.26442466</v>
      </c>
      <c r="L227" s="22">
        <v>0</v>
      </c>
      <c r="M227" s="21">
        <v>0</v>
      </c>
      <c r="N227" s="21">
        <f>+H227+K227</f>
        <v>165.45644964000002</v>
      </c>
      <c r="O227" s="21">
        <f>+((I227+J227)+(L227+M227))</f>
        <v>0</v>
      </c>
      <c r="P227" s="21">
        <f>+N227-O227</f>
        <v>165.45644964000002</v>
      </c>
      <c r="Q227" s="109" t="s">
        <v>284</v>
      </c>
      <c r="R227" s="26" t="s">
        <v>433</v>
      </c>
      <c r="S227" s="10" t="s">
        <v>282</v>
      </c>
      <c r="T227" s="10" t="s">
        <v>283</v>
      </c>
    </row>
    <row r="228" spans="1:29" ht="317.10000000000002" customHeight="1" thickBot="1" x14ac:dyDescent="0.8">
      <c r="A228" s="395"/>
      <c r="B228" s="418"/>
      <c r="C228" s="418"/>
      <c r="D228" s="419"/>
      <c r="E228" s="20" t="s">
        <v>21</v>
      </c>
      <c r="F228" s="20">
        <v>300</v>
      </c>
      <c r="G228" s="23">
        <v>2275.8471639999998</v>
      </c>
      <c r="H228" s="23">
        <f>+G228*0.01</f>
        <v>22.75847164</v>
      </c>
      <c r="I228" s="23">
        <v>0</v>
      </c>
      <c r="J228" s="23">
        <v>0</v>
      </c>
      <c r="K228" s="23">
        <f>+G228*(10/100)</f>
        <v>227.58471639999999</v>
      </c>
      <c r="L228" s="45">
        <v>0</v>
      </c>
      <c r="M228" s="23">
        <v>0</v>
      </c>
      <c r="N228" s="23">
        <f>+H228+K228</f>
        <v>250.34318804</v>
      </c>
      <c r="O228" s="23">
        <f>+((I228+J228)+(L228+M228))</f>
        <v>0</v>
      </c>
      <c r="P228" s="23">
        <f>+N228-O228</f>
        <v>250.34318804</v>
      </c>
      <c r="Q228" s="109" t="s">
        <v>307</v>
      </c>
      <c r="R228" s="26" t="s">
        <v>481</v>
      </c>
      <c r="S228" s="10" t="s">
        <v>282</v>
      </c>
      <c r="T228" s="10" t="s">
        <v>283</v>
      </c>
    </row>
    <row r="229" spans="1:29" ht="317.10000000000002" customHeight="1" thickBot="1" x14ac:dyDescent="0.8">
      <c r="A229" s="395"/>
      <c r="B229" s="418"/>
      <c r="C229" s="418"/>
      <c r="D229" s="419"/>
      <c r="E229" s="58" t="s">
        <v>22</v>
      </c>
      <c r="F229" s="58">
        <v>300</v>
      </c>
      <c r="G229" s="60">
        <f>2294227271/1000000</f>
        <v>2294.2272710000002</v>
      </c>
      <c r="H229" s="60">
        <f>+G229*0.02</f>
        <v>45.884545420000002</v>
      </c>
      <c r="I229" s="60">
        <v>0</v>
      </c>
      <c r="J229" s="60">
        <f>((0)*1000)/1000000</f>
        <v>0</v>
      </c>
      <c r="K229" s="60">
        <f>+G229*(10.5/100)</f>
        <v>240.893863455</v>
      </c>
      <c r="L229" s="61">
        <v>0</v>
      </c>
      <c r="M229" s="60">
        <f>(0*1000)/1000000</f>
        <v>0</v>
      </c>
      <c r="N229" s="60">
        <f t="shared" si="31"/>
        <v>286.77840887500003</v>
      </c>
      <c r="O229" s="60">
        <f t="shared" si="25"/>
        <v>0</v>
      </c>
      <c r="P229" s="60">
        <f t="shared" si="26"/>
        <v>286.77840887500003</v>
      </c>
      <c r="Q229" s="110" t="s">
        <v>284</v>
      </c>
      <c r="R229" s="27" t="s">
        <v>91</v>
      </c>
      <c r="S229" s="7" t="s">
        <v>282</v>
      </c>
      <c r="T229" s="7" t="s">
        <v>283</v>
      </c>
      <c r="U229" s="7"/>
      <c r="V229" s="7"/>
      <c r="W229" s="7"/>
      <c r="X229" s="7"/>
      <c r="Y229" s="7"/>
      <c r="Z229" s="7"/>
      <c r="AA229" s="7"/>
      <c r="AB229" s="7"/>
      <c r="AC229" s="7"/>
    </row>
    <row r="230" spans="1:29" ht="317.10000000000002" customHeight="1" thickBot="1" x14ac:dyDescent="0.8">
      <c r="A230" s="395"/>
      <c r="B230" s="418"/>
      <c r="C230" s="418"/>
      <c r="D230" s="419"/>
      <c r="E230" s="47" t="s">
        <v>24</v>
      </c>
      <c r="F230" s="47">
        <v>300</v>
      </c>
      <c r="G230" s="143">
        <v>2450.7343110000002</v>
      </c>
      <c r="H230" s="50">
        <f>+G230*(2.75/100)</f>
        <v>67.395193552500004</v>
      </c>
      <c r="I230" s="50">
        <v>0</v>
      </c>
      <c r="J230" s="50">
        <f>((0)*1000)/1000000</f>
        <v>0</v>
      </c>
      <c r="K230" s="50">
        <f>+G230*(11/100)</f>
        <v>269.58077421000002</v>
      </c>
      <c r="L230" s="51">
        <v>0</v>
      </c>
      <c r="M230" s="50">
        <f>(0*1000)/1000000</f>
        <v>0</v>
      </c>
      <c r="N230" s="50">
        <f t="shared" si="31"/>
        <v>336.97596776250003</v>
      </c>
      <c r="O230" s="50">
        <f t="shared" si="25"/>
        <v>0</v>
      </c>
      <c r="P230" s="50">
        <f t="shared" si="26"/>
        <v>336.97596776250003</v>
      </c>
      <c r="Q230" s="111" t="s">
        <v>497</v>
      </c>
      <c r="R230" s="28" t="s">
        <v>26</v>
      </c>
      <c r="S230" s="7" t="s">
        <v>282</v>
      </c>
      <c r="T230" s="7" t="s">
        <v>283</v>
      </c>
      <c r="U230" s="7"/>
      <c r="V230" s="7"/>
      <c r="W230" s="7"/>
      <c r="X230" s="7"/>
      <c r="Y230" s="7"/>
      <c r="Z230" s="7"/>
      <c r="AA230" s="7"/>
      <c r="AB230" s="7"/>
      <c r="AC230" s="7"/>
    </row>
    <row r="231" spans="1:29" ht="317.10000000000002" customHeight="1" thickBot="1" x14ac:dyDescent="0.8">
      <c r="A231" s="396"/>
      <c r="B231" s="415"/>
      <c r="C231" s="415"/>
      <c r="D231" s="417"/>
      <c r="E231" s="53" t="s">
        <v>27</v>
      </c>
      <c r="F231" s="53">
        <v>300</v>
      </c>
      <c r="G231" s="53">
        <v>1929.53682</v>
      </c>
      <c r="H231" s="54">
        <f>+G231*(3.5/100)</f>
        <v>67.533788700000002</v>
      </c>
      <c r="I231" s="54">
        <v>0</v>
      </c>
      <c r="J231" s="54">
        <f>((0)*1000)/1000000</f>
        <v>0</v>
      </c>
      <c r="K231" s="54">
        <f>+G231*(11.5/100)</f>
        <v>221.89673430000002</v>
      </c>
      <c r="L231" s="56">
        <v>0</v>
      </c>
      <c r="M231" s="54">
        <f>(0*1000)/1000000</f>
        <v>0</v>
      </c>
      <c r="N231" s="54">
        <f t="shared" si="31"/>
        <v>289.43052299999999</v>
      </c>
      <c r="O231" s="54">
        <f t="shared" si="25"/>
        <v>0</v>
      </c>
      <c r="P231" s="54">
        <f t="shared" si="26"/>
        <v>289.43052299999999</v>
      </c>
      <c r="Q231" s="112" t="s">
        <v>497</v>
      </c>
      <c r="R231" s="38" t="s">
        <v>28</v>
      </c>
      <c r="S231" s="7" t="s">
        <v>282</v>
      </c>
      <c r="T231" s="7" t="s">
        <v>283</v>
      </c>
      <c r="U231" s="7"/>
      <c r="V231" s="7"/>
      <c r="W231" s="7"/>
      <c r="X231" s="7"/>
      <c r="Y231" s="7"/>
      <c r="Z231" s="7"/>
      <c r="AA231" s="7"/>
      <c r="AB231" s="7"/>
      <c r="AC231" s="7"/>
    </row>
    <row r="232" spans="1:29" ht="317.10000000000002" customHeight="1" thickBot="1" x14ac:dyDescent="0.8">
      <c r="A232" s="20">
        <v>228</v>
      </c>
      <c r="B232" s="414" t="s">
        <v>92</v>
      </c>
      <c r="C232" s="414" t="s">
        <v>511</v>
      </c>
      <c r="D232" s="416">
        <v>187199004291</v>
      </c>
      <c r="E232" s="20" t="s">
        <v>20</v>
      </c>
      <c r="F232" s="20">
        <v>4.5</v>
      </c>
      <c r="G232" s="21">
        <v>24.010560000000002</v>
      </c>
      <c r="H232" s="21">
        <f>+G232*0.005</f>
        <v>0.12005280000000002</v>
      </c>
      <c r="I232" s="21">
        <v>0</v>
      </c>
      <c r="J232" s="21">
        <f>((15+68+30)*1000)/1000000</f>
        <v>0.113</v>
      </c>
      <c r="K232" s="21">
        <f>+G232*(8.5/100)</f>
        <v>2.0408976000000001</v>
      </c>
      <c r="L232" s="22">
        <v>0</v>
      </c>
      <c r="M232" s="21">
        <f>((248+1168+500)*1000)/1000000</f>
        <v>1.9159999999999999</v>
      </c>
      <c r="N232" s="21">
        <f>+H232+K232</f>
        <v>2.1609503999999999</v>
      </c>
      <c r="O232" s="21">
        <f>+((I232+J232)+(L232+M232))</f>
        <v>2.0289999999999999</v>
      </c>
      <c r="P232" s="21">
        <f>+N232-O232</f>
        <v>0.13195040000000002</v>
      </c>
      <c r="Q232" s="109" t="s">
        <v>292</v>
      </c>
      <c r="R232" s="26" t="s">
        <v>402</v>
      </c>
      <c r="S232" s="10" t="s">
        <v>282</v>
      </c>
      <c r="T232" s="10" t="s">
        <v>283</v>
      </c>
    </row>
    <row r="233" spans="1:29" ht="317.10000000000002" customHeight="1" thickBot="1" x14ac:dyDescent="0.8">
      <c r="A233" s="20"/>
      <c r="B233" s="415"/>
      <c r="C233" s="415"/>
      <c r="D233" s="417"/>
      <c r="E233" s="20" t="s">
        <v>21</v>
      </c>
      <c r="F233" s="20">
        <v>7</v>
      </c>
      <c r="G233" s="23">
        <v>35.852640000000001</v>
      </c>
      <c r="H233" s="23">
        <f>+G233*0.01</f>
        <v>0.35852640000000002</v>
      </c>
      <c r="I233" s="23">
        <v>0</v>
      </c>
      <c r="J233" s="23">
        <f>((30+30+8+44+26+26+27+29+27+27+54)*1000)/1000000</f>
        <v>0.32800000000000001</v>
      </c>
      <c r="K233" s="23">
        <f>+G233*(10/100)</f>
        <v>3.5852640000000005</v>
      </c>
      <c r="L233" s="45">
        <v>0</v>
      </c>
      <c r="M233" s="23">
        <f>((300+300+126+403+258+255+275+290+266+268+542)*1000)/1000000</f>
        <v>3.2829999999999999</v>
      </c>
      <c r="N233" s="23">
        <f t="shared" si="31"/>
        <v>3.9437904000000006</v>
      </c>
      <c r="O233" s="23">
        <f t="shared" ref="O233:O298" si="32">+((I233+J233)+(L233+M233))</f>
        <v>3.6109999999999998</v>
      </c>
      <c r="P233" s="23">
        <f t="shared" ref="P233:P298" si="33">+N233-O233</f>
        <v>0.33279040000000082</v>
      </c>
      <c r="Q233" s="109" t="s">
        <v>93</v>
      </c>
      <c r="R233" s="26" t="s">
        <v>462</v>
      </c>
      <c r="S233" s="10" t="s">
        <v>282</v>
      </c>
      <c r="T233" s="10" t="s">
        <v>283</v>
      </c>
    </row>
    <row r="234" spans="1:29" ht="317.10000000000002" customHeight="1" thickBot="1" x14ac:dyDescent="0.8">
      <c r="A234" s="20">
        <v>230</v>
      </c>
      <c r="B234" s="414" t="s">
        <v>620</v>
      </c>
      <c r="C234" s="414" t="s">
        <v>515</v>
      </c>
      <c r="D234" s="416">
        <v>102698488</v>
      </c>
      <c r="E234" s="20" t="s">
        <v>18</v>
      </c>
      <c r="F234" s="20">
        <v>2.65</v>
      </c>
      <c r="G234" s="23">
        <f>3585493.23921539/1000000</f>
        <v>3.5854932392153898</v>
      </c>
      <c r="H234" s="23">
        <f>+G234*0.005</f>
        <v>1.7927466196076949E-2</v>
      </c>
      <c r="I234" s="23">
        <v>0</v>
      </c>
      <c r="J234" s="23">
        <v>0</v>
      </c>
      <c r="K234" s="23">
        <f>+G234*(8.5/100)</f>
        <v>0.30476692533330813</v>
      </c>
      <c r="L234" s="45">
        <v>0</v>
      </c>
      <c r="M234" s="23">
        <v>0</v>
      </c>
      <c r="N234" s="23">
        <f t="shared" si="31"/>
        <v>0.32269439152938506</v>
      </c>
      <c r="O234" s="23">
        <f t="shared" si="32"/>
        <v>0</v>
      </c>
      <c r="P234" s="23">
        <f t="shared" si="33"/>
        <v>0.32269439152938506</v>
      </c>
      <c r="Q234" s="109" t="s">
        <v>40</v>
      </c>
      <c r="R234" s="26" t="s">
        <v>343</v>
      </c>
      <c r="S234" s="10" t="s">
        <v>344</v>
      </c>
    </row>
    <row r="235" spans="1:29" ht="408.95" customHeight="1" thickBot="1" x14ac:dyDescent="0.8">
      <c r="A235" s="20">
        <v>231</v>
      </c>
      <c r="B235" s="415"/>
      <c r="C235" s="415"/>
      <c r="D235" s="417"/>
      <c r="E235" s="20" t="s">
        <v>20</v>
      </c>
      <c r="F235" s="20">
        <v>1.8</v>
      </c>
      <c r="G235" s="21">
        <f>11629867.5623417/1000000</f>
        <v>11.629867562341699</v>
      </c>
      <c r="H235" s="21">
        <f>+G235*0.005</f>
        <v>5.8149337811708501E-2</v>
      </c>
      <c r="I235" s="21">
        <v>0</v>
      </c>
      <c r="J235" s="21">
        <v>0</v>
      </c>
      <c r="K235" s="21">
        <f>+G235*(8.5/100)</f>
        <v>0.98853874279904452</v>
      </c>
      <c r="L235" s="22">
        <v>0</v>
      </c>
      <c r="M235" s="21">
        <v>0</v>
      </c>
      <c r="N235" s="21">
        <f t="shared" si="31"/>
        <v>1.046688080610753</v>
      </c>
      <c r="O235" s="21">
        <f t="shared" si="32"/>
        <v>0</v>
      </c>
      <c r="P235" s="21">
        <f t="shared" si="33"/>
        <v>1.046688080610753</v>
      </c>
      <c r="Q235" s="109" t="s">
        <v>30</v>
      </c>
      <c r="R235" s="26" t="s">
        <v>443</v>
      </c>
      <c r="S235" s="10" t="s">
        <v>344</v>
      </c>
    </row>
    <row r="236" spans="1:29" ht="317.10000000000002" customHeight="1" thickBot="1" x14ac:dyDescent="0.8">
      <c r="A236" s="20">
        <v>232</v>
      </c>
      <c r="B236" s="19" t="s">
        <v>621</v>
      </c>
      <c r="C236" s="19" t="s">
        <v>511</v>
      </c>
      <c r="D236" s="176">
        <v>250389007090</v>
      </c>
      <c r="E236" s="20" t="s">
        <v>20</v>
      </c>
      <c r="F236" s="20">
        <v>1</v>
      </c>
      <c r="G236" s="21">
        <v>0.624</v>
      </c>
      <c r="H236" s="21">
        <f>+G236*0.005</f>
        <v>3.1199999999999999E-3</v>
      </c>
      <c r="I236" s="21">
        <v>0</v>
      </c>
      <c r="J236" s="21">
        <v>0</v>
      </c>
      <c r="K236" s="21">
        <f>+G236*(8.5/100)</f>
        <v>5.3040000000000004E-2</v>
      </c>
      <c r="L236" s="22">
        <v>0</v>
      </c>
      <c r="M236" s="21">
        <v>0</v>
      </c>
      <c r="N236" s="21">
        <f t="shared" si="31"/>
        <v>5.6160000000000002E-2</v>
      </c>
      <c r="O236" s="21">
        <f t="shared" si="32"/>
        <v>0</v>
      </c>
      <c r="P236" s="21">
        <f t="shared" si="33"/>
        <v>5.6160000000000002E-2</v>
      </c>
      <c r="Q236" s="109" t="s">
        <v>19</v>
      </c>
      <c r="R236" s="26" t="s">
        <v>447</v>
      </c>
      <c r="S236" s="10" t="s">
        <v>344</v>
      </c>
    </row>
    <row r="237" spans="1:29" ht="317.10000000000002" customHeight="1" thickBot="1" x14ac:dyDescent="0.8">
      <c r="A237" s="20">
        <v>233</v>
      </c>
      <c r="B237" s="428" t="s">
        <v>710</v>
      </c>
      <c r="C237" s="414" t="s">
        <v>511</v>
      </c>
      <c r="D237" s="416">
        <v>170019002848</v>
      </c>
      <c r="E237" s="20" t="s">
        <v>20</v>
      </c>
      <c r="F237" s="20">
        <v>1.5</v>
      </c>
      <c r="G237" s="21">
        <v>13.236520000000001</v>
      </c>
      <c r="H237" s="21">
        <f>+G237*0.005</f>
        <v>6.6182600000000008E-2</v>
      </c>
      <c r="I237" s="21">
        <v>0</v>
      </c>
      <c r="J237" s="21">
        <f>(((13+11+12+11+17+3)*1000)/1000000)</f>
        <v>6.7000000000000004E-2</v>
      </c>
      <c r="K237" s="21">
        <f>+G237*(8.5/100)</f>
        <v>1.1251042000000002</v>
      </c>
      <c r="L237" s="22">
        <v>0</v>
      </c>
      <c r="M237" s="21">
        <f>(((225+187+208+275+187+45)*1000)/1000000)</f>
        <v>1.127</v>
      </c>
      <c r="N237" s="21">
        <f t="shared" si="31"/>
        <v>1.1912868000000003</v>
      </c>
      <c r="O237" s="21">
        <f t="shared" si="32"/>
        <v>1.194</v>
      </c>
      <c r="P237" s="21">
        <f t="shared" si="33"/>
        <v>-2.7131999999996381E-3</v>
      </c>
      <c r="Q237" s="109" t="s">
        <v>19</v>
      </c>
      <c r="R237" s="26" t="s">
        <v>355</v>
      </c>
      <c r="S237" s="10" t="s">
        <v>282</v>
      </c>
      <c r="T237" s="10" t="s">
        <v>310</v>
      </c>
    </row>
    <row r="238" spans="1:29" ht="317.10000000000002" customHeight="1" thickBot="1" x14ac:dyDescent="0.8">
      <c r="A238" s="20"/>
      <c r="B238" s="429"/>
      <c r="C238" s="418"/>
      <c r="D238" s="419"/>
      <c r="E238" s="20" t="s">
        <v>21</v>
      </c>
      <c r="F238" s="20">
        <v>6</v>
      </c>
      <c r="G238" s="23">
        <v>47.929679999999998</v>
      </c>
      <c r="H238" s="23">
        <f>+G238*0.01</f>
        <v>0.47929679999999997</v>
      </c>
      <c r="I238" s="23">
        <f>(0.079+0.091+0.14+0.114)</f>
        <v>0.42399999999999999</v>
      </c>
      <c r="J238" s="23">
        <f>((33+3+65+20)*1000)/1000000</f>
        <v>0.121</v>
      </c>
      <c r="K238" s="23">
        <f>+G238*(10/100)</f>
        <v>4.7929680000000001</v>
      </c>
      <c r="L238" s="45">
        <v>0</v>
      </c>
      <c r="M238" s="23">
        <f>((275+283+45+364+405+1.145+425+405+880+400)*1000)/1000000</f>
        <v>3.4831449999999999</v>
      </c>
      <c r="N238" s="23">
        <f t="shared" si="31"/>
        <v>5.2722648000000003</v>
      </c>
      <c r="O238" s="23">
        <f t="shared" si="32"/>
        <v>4.0281450000000003</v>
      </c>
      <c r="P238" s="23">
        <f t="shared" si="33"/>
        <v>1.2441198</v>
      </c>
      <c r="Q238" s="109" t="s">
        <v>284</v>
      </c>
      <c r="R238" s="26" t="s">
        <v>463</v>
      </c>
      <c r="S238" s="10" t="s">
        <v>282</v>
      </c>
      <c r="T238" s="10" t="s">
        <v>283</v>
      </c>
    </row>
    <row r="239" spans="1:29" ht="317.10000000000002" customHeight="1" thickBot="1" x14ac:dyDescent="0.8">
      <c r="A239" s="20">
        <v>391</v>
      </c>
      <c r="B239" s="430"/>
      <c r="C239" s="415"/>
      <c r="D239" s="417"/>
      <c r="E239" s="58" t="s">
        <v>22</v>
      </c>
      <c r="F239" s="59">
        <v>6</v>
      </c>
      <c r="G239" s="60">
        <f>32773320/1000000</f>
        <v>32.773319999999998</v>
      </c>
      <c r="H239" s="60">
        <f>+G239*0.02</f>
        <v>0.6554664</v>
      </c>
      <c r="I239" s="60">
        <v>0</v>
      </c>
      <c r="J239" s="60">
        <f>(626*1000)/1000000</f>
        <v>0.626</v>
      </c>
      <c r="K239" s="60">
        <f>+G239*(10.5/100)</f>
        <v>3.4411985999999999</v>
      </c>
      <c r="L239" s="61">
        <v>0</v>
      </c>
      <c r="M239" s="60">
        <f>((435+855+310+400+430+400+240+255+170+185)*1000)/1000000</f>
        <v>3.68</v>
      </c>
      <c r="N239" s="60">
        <f>+H239+K239</f>
        <v>4.0966649999999998</v>
      </c>
      <c r="O239" s="60">
        <f>+((I239+J239)+(L239+M239))</f>
        <v>4.306</v>
      </c>
      <c r="P239" s="60">
        <f>+N239-O239</f>
        <v>-0.20933500000000027</v>
      </c>
      <c r="Q239" s="119" t="s">
        <v>292</v>
      </c>
      <c r="R239" s="62" t="s">
        <v>129</v>
      </c>
      <c r="S239" s="7" t="s">
        <v>282</v>
      </c>
      <c r="T239" s="7" t="s">
        <v>310</v>
      </c>
      <c r="U239" s="7"/>
      <c r="V239" s="7"/>
      <c r="W239" s="7"/>
      <c r="X239" s="7"/>
      <c r="Y239" s="7"/>
      <c r="Z239" s="7"/>
      <c r="AA239" s="7"/>
      <c r="AB239" s="7"/>
      <c r="AC239" s="7"/>
    </row>
    <row r="240" spans="1:29" ht="317.10000000000002" customHeight="1" thickBot="1" x14ac:dyDescent="0.8">
      <c r="A240" s="20">
        <v>235</v>
      </c>
      <c r="B240" s="19" t="s">
        <v>622</v>
      </c>
      <c r="C240" s="19" t="s">
        <v>511</v>
      </c>
      <c r="D240" s="176" t="s">
        <v>623</v>
      </c>
      <c r="E240" s="20" t="s">
        <v>20</v>
      </c>
      <c r="F240" s="20">
        <v>2</v>
      </c>
      <c r="G240" s="21">
        <v>10.144558</v>
      </c>
      <c r="H240" s="21">
        <f t="shared" ref="H240:H254" si="34">+G240*0.005</f>
        <v>5.0722790000000004E-2</v>
      </c>
      <c r="I240" s="21">
        <v>0</v>
      </c>
      <c r="J240" s="21">
        <v>0</v>
      </c>
      <c r="K240" s="21">
        <f t="shared" ref="K240:K254" si="35">+G240*(8.5/100)</f>
        <v>0.86228743000000008</v>
      </c>
      <c r="L240" s="22">
        <v>0</v>
      </c>
      <c r="M240" s="21">
        <v>0</v>
      </c>
      <c r="N240" s="21">
        <f t="shared" si="31"/>
        <v>0.91301022000000009</v>
      </c>
      <c r="O240" s="21">
        <f t="shared" si="32"/>
        <v>0</v>
      </c>
      <c r="P240" s="21">
        <f t="shared" si="33"/>
        <v>0.91301022000000009</v>
      </c>
      <c r="Q240" s="109" t="s">
        <v>19</v>
      </c>
      <c r="R240" s="26" t="s">
        <v>449</v>
      </c>
      <c r="S240" s="10" t="s">
        <v>344</v>
      </c>
    </row>
    <row r="241" spans="1:29" ht="317.10000000000002" customHeight="1" thickBot="1" x14ac:dyDescent="0.8">
      <c r="A241" s="20">
        <v>236</v>
      </c>
      <c r="B241" s="19" t="s">
        <v>624</v>
      </c>
      <c r="C241" s="19" t="s">
        <v>511</v>
      </c>
      <c r="D241" s="176">
        <v>170019005677</v>
      </c>
      <c r="E241" s="20" t="s">
        <v>20</v>
      </c>
      <c r="F241" s="20">
        <v>1</v>
      </c>
      <c r="G241" s="21">
        <v>1.049777</v>
      </c>
      <c r="H241" s="21">
        <f t="shared" si="34"/>
        <v>5.248885E-3</v>
      </c>
      <c r="I241" s="21">
        <v>0</v>
      </c>
      <c r="J241" s="21">
        <v>0</v>
      </c>
      <c r="K241" s="21">
        <f t="shared" si="35"/>
        <v>8.9231045000000009E-2</v>
      </c>
      <c r="L241" s="22">
        <v>0</v>
      </c>
      <c r="M241" s="21">
        <v>0</v>
      </c>
      <c r="N241" s="21">
        <f t="shared" si="31"/>
        <v>9.4479930000000004E-2</v>
      </c>
      <c r="O241" s="21">
        <f t="shared" si="32"/>
        <v>0</v>
      </c>
      <c r="P241" s="21">
        <f t="shared" si="33"/>
        <v>9.4479930000000004E-2</v>
      </c>
      <c r="Q241" s="109" t="s">
        <v>19</v>
      </c>
      <c r="R241" s="26" t="s">
        <v>446</v>
      </c>
      <c r="S241" s="10" t="s">
        <v>344</v>
      </c>
    </row>
    <row r="242" spans="1:29" ht="317.10000000000002" customHeight="1" thickBot="1" x14ac:dyDescent="0.8">
      <c r="A242" s="20">
        <v>237</v>
      </c>
      <c r="B242" s="19" t="s">
        <v>625</v>
      </c>
      <c r="C242" s="19" t="s">
        <v>511</v>
      </c>
      <c r="D242" s="176">
        <v>184059039260</v>
      </c>
      <c r="E242" s="20" t="s">
        <v>20</v>
      </c>
      <c r="F242" s="20">
        <v>2.2000000000000002</v>
      </c>
      <c r="G242" s="21">
        <v>9.6236239999999995</v>
      </c>
      <c r="H242" s="21">
        <f t="shared" si="34"/>
        <v>4.811812E-2</v>
      </c>
      <c r="I242" s="21">
        <v>0</v>
      </c>
      <c r="J242" s="21">
        <v>0</v>
      </c>
      <c r="K242" s="21">
        <f t="shared" si="35"/>
        <v>0.81800804000000005</v>
      </c>
      <c r="L242" s="22">
        <v>0</v>
      </c>
      <c r="M242" s="21">
        <v>0</v>
      </c>
      <c r="N242" s="21">
        <f t="shared" si="31"/>
        <v>0.86612616000000009</v>
      </c>
      <c r="O242" s="21">
        <f t="shared" si="32"/>
        <v>0</v>
      </c>
      <c r="P242" s="21">
        <f t="shared" si="33"/>
        <v>0.86612616000000009</v>
      </c>
      <c r="Q242" s="109" t="s">
        <v>19</v>
      </c>
      <c r="R242" s="26" t="s">
        <v>449</v>
      </c>
      <c r="S242" s="10" t="s">
        <v>344</v>
      </c>
    </row>
    <row r="243" spans="1:29" ht="317.10000000000002" customHeight="1" thickBot="1" x14ac:dyDescent="0.8">
      <c r="A243" s="20">
        <v>238</v>
      </c>
      <c r="B243" s="19" t="s">
        <v>626</v>
      </c>
      <c r="C243" s="19" t="s">
        <v>511</v>
      </c>
      <c r="D243" s="176" t="s">
        <v>627</v>
      </c>
      <c r="E243" s="20" t="s">
        <v>20</v>
      </c>
      <c r="F243" s="20">
        <v>1</v>
      </c>
      <c r="G243" s="21">
        <v>9.5369679999999999</v>
      </c>
      <c r="H243" s="21">
        <f t="shared" si="34"/>
        <v>4.7684839999999999E-2</v>
      </c>
      <c r="I243" s="21">
        <v>0</v>
      </c>
      <c r="J243" s="21">
        <v>0</v>
      </c>
      <c r="K243" s="21">
        <f t="shared" si="35"/>
        <v>0.81064228000000005</v>
      </c>
      <c r="L243" s="22">
        <v>0</v>
      </c>
      <c r="M243" s="21">
        <v>0</v>
      </c>
      <c r="N243" s="21">
        <f t="shared" si="31"/>
        <v>0.85832712</v>
      </c>
      <c r="O243" s="21">
        <f t="shared" si="32"/>
        <v>0</v>
      </c>
      <c r="P243" s="21">
        <f t="shared" si="33"/>
        <v>0.85832712</v>
      </c>
      <c r="Q243" s="109" t="s">
        <v>19</v>
      </c>
      <c r="R243" s="26" t="s">
        <v>449</v>
      </c>
      <c r="S243" s="10" t="s">
        <v>344</v>
      </c>
    </row>
    <row r="244" spans="1:29" ht="317.10000000000002" customHeight="1" thickBot="1" x14ac:dyDescent="0.8">
      <c r="A244" s="20">
        <v>239</v>
      </c>
      <c r="B244" s="414" t="s">
        <v>629</v>
      </c>
      <c r="C244" s="414" t="s">
        <v>511</v>
      </c>
      <c r="D244" s="416" t="s">
        <v>628</v>
      </c>
      <c r="E244" s="20" t="s">
        <v>18</v>
      </c>
      <c r="F244" s="20">
        <v>2</v>
      </c>
      <c r="G244" s="44">
        <v>15.204487</v>
      </c>
      <c r="H244" s="23">
        <f t="shared" si="34"/>
        <v>7.6022434999999999E-2</v>
      </c>
      <c r="I244" s="23">
        <v>0</v>
      </c>
      <c r="J244" s="23">
        <f>(6+6+5+6+5+11+6+5+4+6+6)/1000</f>
        <v>6.6000000000000003E-2</v>
      </c>
      <c r="K244" s="23">
        <f t="shared" si="35"/>
        <v>1.292381395</v>
      </c>
      <c r="L244" s="45">
        <v>0</v>
      </c>
      <c r="M244" s="23">
        <f>(93+97+100+90+95+179+98+92+89+87+102)/1000</f>
        <v>1.1220000000000001</v>
      </c>
      <c r="N244" s="23">
        <f t="shared" si="31"/>
        <v>1.3684038300000001</v>
      </c>
      <c r="O244" s="23">
        <f t="shared" si="32"/>
        <v>1.1880000000000002</v>
      </c>
      <c r="P244" s="23">
        <f t="shared" si="33"/>
        <v>0.18040382999999993</v>
      </c>
      <c r="Q244" s="109" t="s">
        <v>305</v>
      </c>
      <c r="R244" s="26" t="s">
        <v>324</v>
      </c>
      <c r="S244" s="10" t="s">
        <v>282</v>
      </c>
      <c r="T244" s="10" t="s">
        <v>283</v>
      </c>
    </row>
    <row r="245" spans="1:29" ht="317.10000000000002" customHeight="1" thickBot="1" x14ac:dyDescent="0.8">
      <c r="A245" s="20">
        <v>240</v>
      </c>
      <c r="B245" s="415"/>
      <c r="C245" s="415"/>
      <c r="D245" s="417"/>
      <c r="E245" s="20" t="s">
        <v>20</v>
      </c>
      <c r="F245" s="20">
        <v>2.5</v>
      </c>
      <c r="G245" s="21">
        <v>14.312569999999999</v>
      </c>
      <c r="H245" s="21">
        <f t="shared" si="34"/>
        <v>7.1562849999999997E-2</v>
      </c>
      <c r="I245" s="21">
        <v>0</v>
      </c>
      <c r="J245" s="21">
        <v>0</v>
      </c>
      <c r="K245" s="21">
        <f t="shared" si="35"/>
        <v>1.21656845</v>
      </c>
      <c r="L245" s="22">
        <v>0</v>
      </c>
      <c r="M245" s="21">
        <v>0</v>
      </c>
      <c r="N245" s="21">
        <f t="shared" si="31"/>
        <v>1.2881313000000001</v>
      </c>
      <c r="O245" s="21">
        <f t="shared" si="32"/>
        <v>0</v>
      </c>
      <c r="P245" s="21">
        <f t="shared" si="33"/>
        <v>1.2881313000000001</v>
      </c>
      <c r="Q245" s="109" t="s">
        <v>19</v>
      </c>
      <c r="R245" s="26" t="s">
        <v>449</v>
      </c>
      <c r="S245" s="10" t="s">
        <v>344</v>
      </c>
    </row>
    <row r="246" spans="1:29" ht="317.10000000000002" customHeight="1" thickBot="1" x14ac:dyDescent="0.8">
      <c r="A246" s="20">
        <v>241</v>
      </c>
      <c r="B246" s="414" t="s">
        <v>630</v>
      </c>
      <c r="C246" s="414" t="s">
        <v>511</v>
      </c>
      <c r="D246" s="416">
        <v>3019031660</v>
      </c>
      <c r="E246" s="20" t="s">
        <v>18</v>
      </c>
      <c r="F246" s="20">
        <v>1</v>
      </c>
      <c r="G246" s="23">
        <v>7.4078369999999998</v>
      </c>
      <c r="H246" s="23">
        <f t="shared" si="34"/>
        <v>3.7039185000000002E-2</v>
      </c>
      <c r="I246" s="23">
        <v>0</v>
      </c>
      <c r="J246" s="23">
        <v>3.3000000000000002E-2</v>
      </c>
      <c r="K246" s="23">
        <f t="shared" si="35"/>
        <v>0.62966614500000007</v>
      </c>
      <c r="L246" s="45">
        <v>0</v>
      </c>
      <c r="M246" s="23">
        <v>0.56000000000000005</v>
      </c>
      <c r="N246" s="23">
        <f t="shared" si="31"/>
        <v>0.6667053300000001</v>
      </c>
      <c r="O246" s="23">
        <f t="shared" si="32"/>
        <v>0.59300000000000008</v>
      </c>
      <c r="P246" s="23">
        <f t="shared" si="33"/>
        <v>7.3705330000000013E-2</v>
      </c>
      <c r="Q246" s="109" t="s">
        <v>277</v>
      </c>
      <c r="R246" s="26" t="s">
        <v>290</v>
      </c>
      <c r="S246" s="10" t="s">
        <v>282</v>
      </c>
      <c r="T246" s="10" t="s">
        <v>283</v>
      </c>
    </row>
    <row r="247" spans="1:29" ht="317.10000000000002" customHeight="1" thickBot="1" x14ac:dyDescent="0.8">
      <c r="A247" s="20">
        <v>242</v>
      </c>
      <c r="B247" s="415"/>
      <c r="C247" s="415"/>
      <c r="D247" s="417"/>
      <c r="E247" s="20" t="s">
        <v>20</v>
      </c>
      <c r="F247" s="20">
        <v>1</v>
      </c>
      <c r="G247" s="21">
        <v>9.2152410000000007</v>
      </c>
      <c r="H247" s="21">
        <f t="shared" si="34"/>
        <v>4.6076205000000002E-2</v>
      </c>
      <c r="I247" s="21">
        <v>0</v>
      </c>
      <c r="J247" s="21">
        <f>(10+26+5+6)*1000/1000000</f>
        <v>4.7E-2</v>
      </c>
      <c r="K247" s="21">
        <f t="shared" si="35"/>
        <v>0.78329548500000012</v>
      </c>
      <c r="L247" s="22">
        <v>0</v>
      </c>
      <c r="M247" s="21">
        <f>(250+374+60+100)*1000/1000000</f>
        <v>0.78400000000000003</v>
      </c>
      <c r="N247" s="21">
        <f t="shared" si="31"/>
        <v>0.82937169000000011</v>
      </c>
      <c r="O247" s="21">
        <f t="shared" si="32"/>
        <v>0.83100000000000007</v>
      </c>
      <c r="P247" s="21">
        <f t="shared" si="33"/>
        <v>-1.6283099999999662E-3</v>
      </c>
      <c r="Q247" s="109" t="s">
        <v>284</v>
      </c>
      <c r="R247" s="26" t="s">
        <v>437</v>
      </c>
      <c r="S247" s="10" t="s">
        <v>282</v>
      </c>
      <c r="T247" s="10" t="s">
        <v>310</v>
      </c>
    </row>
    <row r="248" spans="1:29" ht="317.10000000000002" customHeight="1" thickBot="1" x14ac:dyDescent="0.8">
      <c r="A248" s="20">
        <v>243</v>
      </c>
      <c r="B248" s="19" t="s">
        <v>631</v>
      </c>
      <c r="C248" s="19" t="s">
        <v>511</v>
      </c>
      <c r="D248" s="176">
        <v>170149001967</v>
      </c>
      <c r="E248" s="20" t="s">
        <v>20</v>
      </c>
      <c r="F248" s="20">
        <v>1.3</v>
      </c>
      <c r="G248" s="21">
        <v>4.4730299999999996</v>
      </c>
      <c r="H248" s="21">
        <f t="shared" si="34"/>
        <v>2.2365149999999997E-2</v>
      </c>
      <c r="I248" s="21">
        <v>0</v>
      </c>
      <c r="J248" s="21">
        <v>0</v>
      </c>
      <c r="K248" s="21">
        <f t="shared" si="35"/>
        <v>0.38020755000000001</v>
      </c>
      <c r="L248" s="22">
        <v>0</v>
      </c>
      <c r="M248" s="21">
        <v>0</v>
      </c>
      <c r="N248" s="21">
        <f t="shared" si="31"/>
        <v>0.40257270000000001</v>
      </c>
      <c r="O248" s="21">
        <f t="shared" si="32"/>
        <v>0</v>
      </c>
      <c r="P248" s="21">
        <f t="shared" si="33"/>
        <v>0.40257270000000001</v>
      </c>
      <c r="Q248" s="109" t="s">
        <v>284</v>
      </c>
      <c r="R248" s="26" t="s">
        <v>446</v>
      </c>
      <c r="S248" s="10" t="s">
        <v>344</v>
      </c>
    </row>
    <row r="249" spans="1:29" ht="317.10000000000002" customHeight="1" thickBot="1" x14ac:dyDescent="0.8">
      <c r="A249" s="20">
        <v>244</v>
      </c>
      <c r="B249" s="19" t="s">
        <v>632</v>
      </c>
      <c r="C249" s="19" t="s">
        <v>511</v>
      </c>
      <c r="D249" s="176">
        <v>176099030420</v>
      </c>
      <c r="E249" s="20" t="s">
        <v>20</v>
      </c>
      <c r="F249" s="20">
        <v>2.99</v>
      </c>
      <c r="G249" s="21">
        <v>16.862234000000001</v>
      </c>
      <c r="H249" s="21">
        <f t="shared" si="34"/>
        <v>8.4311170000000005E-2</v>
      </c>
      <c r="I249" s="21">
        <v>0</v>
      </c>
      <c r="J249" s="21">
        <f>((18+71)*1000)/1000000</f>
        <v>8.8999999999999996E-2</v>
      </c>
      <c r="K249" s="21">
        <f t="shared" si="35"/>
        <v>1.4332898900000002</v>
      </c>
      <c r="L249" s="22">
        <v>2.1148400000000001</v>
      </c>
      <c r="M249" s="21">
        <f>((976)*1000)/1000000</f>
        <v>0.97599999999999998</v>
      </c>
      <c r="N249" s="21">
        <f t="shared" si="31"/>
        <v>1.5176010600000003</v>
      </c>
      <c r="O249" s="21">
        <f t="shared" si="32"/>
        <v>3.17984</v>
      </c>
      <c r="P249" s="21">
        <f t="shared" si="33"/>
        <v>-1.6622389399999997</v>
      </c>
      <c r="Q249" s="109" t="s">
        <v>284</v>
      </c>
      <c r="R249" s="26" t="s">
        <v>405</v>
      </c>
      <c r="S249" s="10" t="s">
        <v>282</v>
      </c>
      <c r="T249" s="10" t="s">
        <v>310</v>
      </c>
    </row>
    <row r="250" spans="1:29" ht="317.10000000000002" customHeight="1" thickBot="1" x14ac:dyDescent="0.8">
      <c r="A250" s="20">
        <v>245</v>
      </c>
      <c r="B250" s="19" t="s">
        <v>633</v>
      </c>
      <c r="C250" s="19" t="s">
        <v>511</v>
      </c>
      <c r="D250" s="176">
        <v>281729005620</v>
      </c>
      <c r="E250" s="20" t="s">
        <v>20</v>
      </c>
      <c r="F250" s="20">
        <v>1.95</v>
      </c>
      <c r="G250" s="21">
        <v>2.2873679999999998</v>
      </c>
      <c r="H250" s="21">
        <f t="shared" si="34"/>
        <v>1.143684E-2</v>
      </c>
      <c r="I250" s="21">
        <v>0</v>
      </c>
      <c r="J250" s="21">
        <v>8.9999999999999993E-3</v>
      </c>
      <c r="K250" s="21">
        <f t="shared" si="35"/>
        <v>0.19442628000000001</v>
      </c>
      <c r="L250" s="22">
        <v>0</v>
      </c>
      <c r="M250" s="21">
        <v>0.16700000000000001</v>
      </c>
      <c r="N250" s="21">
        <f t="shared" si="31"/>
        <v>0.20586312000000001</v>
      </c>
      <c r="O250" s="21">
        <f t="shared" si="32"/>
        <v>0.17600000000000002</v>
      </c>
      <c r="P250" s="21">
        <f t="shared" si="33"/>
        <v>2.9863119999999993E-2</v>
      </c>
      <c r="Q250" s="109" t="s">
        <v>284</v>
      </c>
      <c r="R250" s="26" t="s">
        <v>375</v>
      </c>
      <c r="S250" s="10" t="s">
        <v>282</v>
      </c>
      <c r="T250" s="10" t="s">
        <v>283</v>
      </c>
    </row>
    <row r="251" spans="1:29" ht="317.10000000000002" customHeight="1" thickBot="1" x14ac:dyDescent="0.8">
      <c r="A251" s="20">
        <v>246</v>
      </c>
      <c r="B251" s="19" t="s">
        <v>634</v>
      </c>
      <c r="C251" s="19" t="s">
        <v>511</v>
      </c>
      <c r="D251" s="176">
        <v>420819008970</v>
      </c>
      <c r="E251" s="20" t="s">
        <v>20</v>
      </c>
      <c r="F251" s="20">
        <v>1</v>
      </c>
      <c r="G251" s="21">
        <v>1.4159999999999999</v>
      </c>
      <c r="H251" s="21">
        <f t="shared" si="34"/>
        <v>7.0799999999999995E-3</v>
      </c>
      <c r="I251" s="21">
        <v>0</v>
      </c>
      <c r="J251" s="21">
        <v>0</v>
      </c>
      <c r="K251" s="21">
        <f t="shared" si="35"/>
        <v>0.12036000000000001</v>
      </c>
      <c r="L251" s="22">
        <v>0</v>
      </c>
      <c r="M251" s="21">
        <v>0</v>
      </c>
      <c r="N251" s="21">
        <f t="shared" si="31"/>
        <v>0.12744</v>
      </c>
      <c r="O251" s="21">
        <f t="shared" si="32"/>
        <v>0</v>
      </c>
      <c r="P251" s="21">
        <f t="shared" si="33"/>
        <v>0.12744</v>
      </c>
      <c r="Q251" s="109" t="s">
        <v>19</v>
      </c>
      <c r="R251" s="26" t="s">
        <v>447</v>
      </c>
      <c r="S251" s="10" t="s">
        <v>344</v>
      </c>
    </row>
    <row r="252" spans="1:29" ht="317.10000000000002" customHeight="1" thickBot="1" x14ac:dyDescent="0.8">
      <c r="A252" s="20">
        <v>247</v>
      </c>
      <c r="B252" s="414" t="s">
        <v>636</v>
      </c>
      <c r="C252" s="414" t="s">
        <v>511</v>
      </c>
      <c r="D252" s="416" t="s">
        <v>635</v>
      </c>
      <c r="E252" s="20" t="s">
        <v>18</v>
      </c>
      <c r="F252" s="20">
        <v>4</v>
      </c>
      <c r="G252" s="23">
        <v>27.803307</v>
      </c>
      <c r="H252" s="23">
        <f>+G252*0.005</f>
        <v>0.139016535</v>
      </c>
      <c r="I252" s="23">
        <v>0</v>
      </c>
      <c r="J252" s="23">
        <v>0</v>
      </c>
      <c r="K252" s="23">
        <f>+G252*(8.5/100)</f>
        <v>2.3632810950000001</v>
      </c>
      <c r="L252" s="45">
        <v>0</v>
      </c>
      <c r="M252" s="23">
        <v>0</v>
      </c>
      <c r="N252" s="23">
        <f>+H252+K252</f>
        <v>2.5022976300000002</v>
      </c>
      <c r="O252" s="23">
        <f>+((I252+J252)+(L252+M252))</f>
        <v>0</v>
      </c>
      <c r="P252" s="23">
        <f>+N252-O252</f>
        <v>2.5022976300000002</v>
      </c>
      <c r="Q252" s="109" t="s">
        <v>19</v>
      </c>
      <c r="R252" s="26" t="s">
        <v>346</v>
      </c>
      <c r="S252" s="10" t="s">
        <v>344</v>
      </c>
    </row>
    <row r="253" spans="1:29" ht="317.10000000000002" customHeight="1" thickBot="1" x14ac:dyDescent="0.8">
      <c r="A253" s="20">
        <v>248</v>
      </c>
      <c r="B253" s="415"/>
      <c r="C253" s="415"/>
      <c r="D253" s="417"/>
      <c r="E253" s="20" t="s">
        <v>20</v>
      </c>
      <c r="F253" s="20">
        <v>4</v>
      </c>
      <c r="G253" s="21">
        <v>25.953441999999999</v>
      </c>
      <c r="H253" s="21">
        <f t="shared" si="34"/>
        <v>0.12976720999999999</v>
      </c>
      <c r="I253" s="21">
        <v>0</v>
      </c>
      <c r="J253" s="21">
        <v>0</v>
      </c>
      <c r="K253" s="21">
        <f t="shared" si="35"/>
        <v>2.2060425700000001</v>
      </c>
      <c r="L253" s="22">
        <v>0</v>
      </c>
      <c r="M253" s="21">
        <v>0</v>
      </c>
      <c r="N253" s="21">
        <f t="shared" si="31"/>
        <v>2.3358097799999999</v>
      </c>
      <c r="O253" s="21">
        <f t="shared" si="32"/>
        <v>0</v>
      </c>
      <c r="P253" s="21">
        <f t="shared" si="33"/>
        <v>2.3358097799999999</v>
      </c>
      <c r="Q253" s="109" t="s">
        <v>19</v>
      </c>
      <c r="R253" s="26" t="s">
        <v>446</v>
      </c>
      <c r="S253" s="10" t="s">
        <v>344</v>
      </c>
    </row>
    <row r="254" spans="1:29" ht="317.10000000000002" customHeight="1" thickBot="1" x14ac:dyDescent="0.8">
      <c r="A254" s="20">
        <v>249</v>
      </c>
      <c r="B254" s="414" t="s">
        <v>637</v>
      </c>
      <c r="C254" s="414" t="s">
        <v>511</v>
      </c>
      <c r="D254" s="416">
        <v>28619018861</v>
      </c>
      <c r="E254" s="20" t="s">
        <v>20</v>
      </c>
      <c r="F254" s="20">
        <v>16.5</v>
      </c>
      <c r="G254" s="21">
        <v>37.22119</v>
      </c>
      <c r="H254" s="21">
        <f t="shared" si="34"/>
        <v>0.18610594999999999</v>
      </c>
      <c r="I254" s="21">
        <v>0</v>
      </c>
      <c r="J254" s="21">
        <f>(((178+9)*1000)/1000000)</f>
        <v>0.187</v>
      </c>
      <c r="K254" s="21">
        <f t="shared" si="35"/>
        <v>3.1638011500000003</v>
      </c>
      <c r="L254" s="22">
        <v>0</v>
      </c>
      <c r="M254" s="21">
        <f>(((3026+138)*1000)/1000000)</f>
        <v>3.1640000000000001</v>
      </c>
      <c r="N254" s="21">
        <f t="shared" si="31"/>
        <v>3.3499071000000002</v>
      </c>
      <c r="O254" s="21">
        <f t="shared" si="32"/>
        <v>3.351</v>
      </c>
      <c r="P254" s="21">
        <f t="shared" si="33"/>
        <v>-1.0928999999997302E-3</v>
      </c>
      <c r="Q254" s="109" t="s">
        <v>284</v>
      </c>
      <c r="R254" s="26" t="s">
        <v>389</v>
      </c>
      <c r="S254" s="10" t="s">
        <v>282</v>
      </c>
      <c r="T254" s="10" t="s">
        <v>310</v>
      </c>
    </row>
    <row r="255" spans="1:29" ht="317.10000000000002" customHeight="1" thickBot="1" x14ac:dyDescent="0.8">
      <c r="A255" s="20">
        <v>250</v>
      </c>
      <c r="B255" s="418"/>
      <c r="C255" s="418"/>
      <c r="D255" s="419"/>
      <c r="E255" s="20" t="s">
        <v>21</v>
      </c>
      <c r="F255" s="20">
        <v>11.7</v>
      </c>
      <c r="G255" s="23">
        <v>75.757018000000002</v>
      </c>
      <c r="H255" s="23">
        <f>+G255*0.01</f>
        <v>0.75757018000000009</v>
      </c>
      <c r="I255" s="23">
        <v>0</v>
      </c>
      <c r="J255" s="23">
        <f>(429*1000)/1000000</f>
        <v>0.42899999999999999</v>
      </c>
      <c r="K255" s="23">
        <f>+G255*(10/100)</f>
        <v>7.5757018000000009</v>
      </c>
      <c r="L255" s="45">
        <v>0</v>
      </c>
      <c r="M255" s="23">
        <f>(4293*1000)/1000000</f>
        <v>4.2930000000000001</v>
      </c>
      <c r="N255" s="23">
        <f t="shared" si="31"/>
        <v>8.333271980000001</v>
      </c>
      <c r="O255" s="23">
        <f t="shared" si="32"/>
        <v>4.7220000000000004</v>
      </c>
      <c r="P255" s="23">
        <f t="shared" si="33"/>
        <v>3.6112719800000006</v>
      </c>
      <c r="Q255" s="109" t="s">
        <v>284</v>
      </c>
      <c r="R255" s="26" t="s">
        <v>473</v>
      </c>
      <c r="S255" s="10" t="s">
        <v>282</v>
      </c>
      <c r="T255" s="10" t="s">
        <v>283</v>
      </c>
    </row>
    <row r="256" spans="1:29" ht="317.10000000000002" customHeight="1" thickBot="1" x14ac:dyDescent="0.8">
      <c r="A256" s="20">
        <v>251</v>
      </c>
      <c r="B256" s="415"/>
      <c r="C256" s="415"/>
      <c r="D256" s="417"/>
      <c r="E256" s="58" t="s">
        <v>22</v>
      </c>
      <c r="F256" s="58">
        <v>9</v>
      </c>
      <c r="G256" s="60">
        <f>7690080/1000000</f>
        <v>7.69008</v>
      </c>
      <c r="H256" s="60">
        <f>+G256*0.02</f>
        <v>0.15380160000000001</v>
      </c>
      <c r="I256" s="60">
        <v>0</v>
      </c>
      <c r="J256" s="60">
        <v>0</v>
      </c>
      <c r="K256" s="60">
        <f>+G256*(10.5/100)</f>
        <v>0.80745840000000002</v>
      </c>
      <c r="L256" s="61">
        <v>0</v>
      </c>
      <c r="M256" s="60">
        <v>0</v>
      </c>
      <c r="N256" s="60">
        <f t="shared" si="31"/>
        <v>0.96126</v>
      </c>
      <c r="O256" s="60">
        <f t="shared" si="32"/>
        <v>0</v>
      </c>
      <c r="P256" s="60">
        <f t="shared" si="33"/>
        <v>0.96126</v>
      </c>
      <c r="Q256" s="110" t="s">
        <v>19</v>
      </c>
      <c r="R256" s="27" t="s">
        <v>94</v>
      </c>
      <c r="S256" s="7" t="s">
        <v>344</v>
      </c>
      <c r="T256" s="7"/>
      <c r="U256" s="7"/>
      <c r="V256" s="7"/>
      <c r="W256" s="7"/>
      <c r="X256" s="7"/>
      <c r="Y256" s="7"/>
      <c r="Z256" s="7"/>
      <c r="AA256" s="7"/>
      <c r="AB256" s="7"/>
      <c r="AC256" s="7"/>
    </row>
    <row r="257" spans="1:29" ht="317.10000000000002" customHeight="1" thickBot="1" x14ac:dyDescent="0.8">
      <c r="A257" s="20">
        <v>252</v>
      </c>
      <c r="B257" s="19" t="s">
        <v>638</v>
      </c>
      <c r="C257" s="19" t="s">
        <v>511</v>
      </c>
      <c r="D257" s="176" t="s">
        <v>639</v>
      </c>
      <c r="E257" s="20" t="s">
        <v>20</v>
      </c>
      <c r="F257" s="20">
        <v>1.7</v>
      </c>
      <c r="G257" s="21">
        <v>0.51368000000000003</v>
      </c>
      <c r="H257" s="21">
        <f>+G257*0.005</f>
        <v>2.5684000000000002E-3</v>
      </c>
      <c r="I257" s="21">
        <v>0</v>
      </c>
      <c r="J257" s="21">
        <v>0</v>
      </c>
      <c r="K257" s="21">
        <f>+G257*(8.5/100)</f>
        <v>4.3662800000000009E-2</v>
      </c>
      <c r="L257" s="22">
        <v>0</v>
      </c>
      <c r="M257" s="21">
        <v>0</v>
      </c>
      <c r="N257" s="21">
        <f t="shared" si="31"/>
        <v>4.6231200000000007E-2</v>
      </c>
      <c r="O257" s="21">
        <f t="shared" si="32"/>
        <v>0</v>
      </c>
      <c r="P257" s="21">
        <f t="shared" si="33"/>
        <v>4.6231200000000007E-2</v>
      </c>
      <c r="Q257" s="109" t="s">
        <v>19</v>
      </c>
      <c r="R257" s="26" t="s">
        <v>449</v>
      </c>
      <c r="S257" s="10" t="s">
        <v>344</v>
      </c>
    </row>
    <row r="258" spans="1:29" ht="317.10000000000002" customHeight="1" thickBot="1" x14ac:dyDescent="0.8">
      <c r="A258" s="20">
        <v>253</v>
      </c>
      <c r="B258" s="19" t="s">
        <v>640</v>
      </c>
      <c r="C258" s="19" t="s">
        <v>511</v>
      </c>
      <c r="D258" s="176" t="s">
        <v>641</v>
      </c>
      <c r="E258" s="20" t="s">
        <v>20</v>
      </c>
      <c r="F258" s="20">
        <v>1.9</v>
      </c>
      <c r="G258" s="21">
        <v>2.3126500000000001</v>
      </c>
      <c r="H258" s="21">
        <f>+G258*0.005</f>
        <v>1.1563250000000001E-2</v>
      </c>
      <c r="I258" s="21">
        <v>0</v>
      </c>
      <c r="J258" s="21">
        <f>(5+6)*1000/1000000</f>
        <v>1.0999999999999999E-2</v>
      </c>
      <c r="K258" s="21">
        <f>+G258*(8.5/100)</f>
        <v>0.19657525000000003</v>
      </c>
      <c r="L258" s="22">
        <v>0</v>
      </c>
      <c r="M258" s="21">
        <f>(62+109)*1000/1000000</f>
        <v>0.17100000000000001</v>
      </c>
      <c r="N258" s="21">
        <f t="shared" si="31"/>
        <v>0.20813850000000003</v>
      </c>
      <c r="O258" s="21">
        <f t="shared" si="32"/>
        <v>0.18200000000000002</v>
      </c>
      <c r="P258" s="21">
        <f t="shared" si="33"/>
        <v>2.6138500000000009E-2</v>
      </c>
      <c r="Q258" s="109" t="s">
        <v>284</v>
      </c>
      <c r="R258" s="26" t="s">
        <v>423</v>
      </c>
      <c r="S258" s="10" t="s">
        <v>282</v>
      </c>
      <c r="T258" s="10" t="s">
        <v>283</v>
      </c>
    </row>
    <row r="259" spans="1:29" ht="317.10000000000002" customHeight="1" thickBot="1" x14ac:dyDescent="0.8">
      <c r="A259" s="20">
        <v>255</v>
      </c>
      <c r="B259" s="19" t="s">
        <v>643</v>
      </c>
      <c r="C259" s="19" t="s">
        <v>511</v>
      </c>
      <c r="D259" s="176">
        <v>490019000939</v>
      </c>
      <c r="E259" s="20" t="s">
        <v>20</v>
      </c>
      <c r="F259" s="20">
        <v>2.7</v>
      </c>
      <c r="G259" s="21">
        <v>4.5753399999999997</v>
      </c>
      <c r="H259" s="21">
        <f>+G259*0.005</f>
        <v>2.28767E-2</v>
      </c>
      <c r="I259" s="21">
        <v>0</v>
      </c>
      <c r="J259" s="21">
        <f>(16+5)*1000/1000000</f>
        <v>2.1000000000000001E-2</v>
      </c>
      <c r="K259" s="21">
        <f>+G259*(8.5/100)</f>
        <v>0.38890390000000002</v>
      </c>
      <c r="L259" s="22">
        <v>0</v>
      </c>
      <c r="M259" s="21">
        <f>(282+64)*1000/1000000</f>
        <v>0.34599999999999997</v>
      </c>
      <c r="N259" s="21">
        <f t="shared" si="31"/>
        <v>0.41178060000000005</v>
      </c>
      <c r="O259" s="21">
        <f t="shared" si="32"/>
        <v>0.36699999999999999</v>
      </c>
      <c r="P259" s="21">
        <f t="shared" si="33"/>
        <v>4.4780600000000059E-2</v>
      </c>
      <c r="Q259" s="109" t="s">
        <v>284</v>
      </c>
      <c r="R259" s="26" t="s">
        <v>417</v>
      </c>
      <c r="S259" s="10" t="s">
        <v>282</v>
      </c>
      <c r="T259" s="10" t="s">
        <v>283</v>
      </c>
    </row>
    <row r="260" spans="1:29" ht="317.10000000000002" customHeight="1" thickBot="1" x14ac:dyDescent="0.8">
      <c r="A260" s="394">
        <v>254</v>
      </c>
      <c r="B260" s="414" t="s">
        <v>642</v>
      </c>
      <c r="C260" s="414" t="s">
        <v>511</v>
      </c>
      <c r="D260" s="416">
        <v>3019018121</v>
      </c>
      <c r="E260" s="20" t="s">
        <v>20</v>
      </c>
      <c r="F260" s="20">
        <v>15</v>
      </c>
      <c r="G260" s="21">
        <v>65.306004000000001</v>
      </c>
      <c r="H260" s="21">
        <f>+G260*0.005</f>
        <v>0.32653002000000003</v>
      </c>
      <c r="I260" s="21">
        <v>0</v>
      </c>
      <c r="J260" s="21">
        <f>(((313)*1000)/1000000)</f>
        <v>0.313</v>
      </c>
      <c r="K260" s="21">
        <f>+G260*(8.5/100)</f>
        <v>5.5510103400000004</v>
      </c>
      <c r="L260" s="22">
        <v>0</v>
      </c>
      <c r="M260" s="21">
        <f>(((5316)*1000)/1000000)</f>
        <v>5.3159999999999998</v>
      </c>
      <c r="N260" s="21">
        <f>+H260+K260</f>
        <v>5.8775403600000002</v>
      </c>
      <c r="O260" s="21">
        <f>+((I260+J260)+(L260+M260))</f>
        <v>5.6289999999999996</v>
      </c>
      <c r="P260" s="21">
        <f>+N260-O260</f>
        <v>0.24854036000000068</v>
      </c>
      <c r="Q260" s="109" t="s">
        <v>284</v>
      </c>
      <c r="R260" s="26" t="s">
        <v>355</v>
      </c>
      <c r="S260" s="10" t="s">
        <v>282</v>
      </c>
      <c r="T260" s="10" t="s">
        <v>283</v>
      </c>
    </row>
    <row r="261" spans="1:29" ht="317.10000000000002" customHeight="1" thickBot="1" x14ac:dyDescent="0.8">
      <c r="A261" s="395"/>
      <c r="B261" s="418"/>
      <c r="C261" s="418"/>
      <c r="D261" s="419"/>
      <c r="E261" s="20" t="s">
        <v>21</v>
      </c>
      <c r="F261" s="20">
        <v>12</v>
      </c>
      <c r="G261" s="23">
        <v>104.364153</v>
      </c>
      <c r="H261" s="23">
        <f>+G261*0.01</f>
        <v>1.0436415299999999</v>
      </c>
      <c r="I261" s="23">
        <v>0</v>
      </c>
      <c r="J261" s="23">
        <f>((82+83+168+167+341)*1000)/1000000</f>
        <v>0.84099999999999997</v>
      </c>
      <c r="K261" s="23">
        <f>+G261*(10/100)</f>
        <v>10.4364153</v>
      </c>
      <c r="L261" s="45">
        <v>0</v>
      </c>
      <c r="M261" s="23">
        <f>((5083+811+828+1680+1674+3412)*1000)/1000000</f>
        <v>13.488</v>
      </c>
      <c r="N261" s="23">
        <f>+H261+K261</f>
        <v>11.480056830000001</v>
      </c>
      <c r="O261" s="23">
        <f>+((I261+J261)+(L261+M261))</f>
        <v>14.328999999999999</v>
      </c>
      <c r="P261" s="23">
        <f>+N261-O261</f>
        <v>-2.8489431699999983</v>
      </c>
      <c r="Q261" s="109" t="s">
        <v>284</v>
      </c>
      <c r="R261" s="26" t="s">
        <v>453</v>
      </c>
      <c r="S261" s="10" t="s">
        <v>282</v>
      </c>
      <c r="T261" s="10" t="s">
        <v>310</v>
      </c>
    </row>
    <row r="262" spans="1:29" ht="317.10000000000002" customHeight="1" thickBot="1" x14ac:dyDescent="0.8">
      <c r="A262" s="395"/>
      <c r="B262" s="418"/>
      <c r="C262" s="418"/>
      <c r="D262" s="419"/>
      <c r="E262" s="58" t="s">
        <v>22</v>
      </c>
      <c r="F262" s="58">
        <v>12</v>
      </c>
      <c r="G262" s="60">
        <f>95417225/1000000</f>
        <v>95.417225000000002</v>
      </c>
      <c r="H262" s="60">
        <f>+G262*0.02</f>
        <v>1.9083445000000001</v>
      </c>
      <c r="I262" s="60">
        <v>0</v>
      </c>
      <c r="J262" s="60">
        <f>(0*1000)/1000000</f>
        <v>0</v>
      </c>
      <c r="K262" s="60">
        <f>+G262*(10.5/100)</f>
        <v>10.018808625</v>
      </c>
      <c r="L262" s="61">
        <v>0</v>
      </c>
      <c r="M262" s="152">
        <f>((5083+1507+1031+1845+729)*1000)/1000000</f>
        <v>10.195</v>
      </c>
      <c r="N262" s="60">
        <f>+H262+K262</f>
        <v>11.927153125</v>
      </c>
      <c r="O262" s="60">
        <f>+((I262+J262)+(L262+M262))</f>
        <v>10.195</v>
      </c>
      <c r="P262" s="60">
        <f>+N262-O262</f>
        <v>1.732153125</v>
      </c>
      <c r="Q262" s="110" t="s">
        <v>19</v>
      </c>
      <c r="R262" s="27" t="s">
        <v>96</v>
      </c>
      <c r="S262" s="7" t="s">
        <v>282</v>
      </c>
      <c r="T262" s="7" t="s">
        <v>283</v>
      </c>
      <c r="U262" s="7"/>
      <c r="V262" s="7"/>
      <c r="W262" s="7"/>
      <c r="X262" s="7"/>
      <c r="Y262" s="7"/>
      <c r="Z262" s="7"/>
      <c r="AA262" s="7"/>
      <c r="AB262" s="7"/>
      <c r="AC262" s="7"/>
    </row>
    <row r="263" spans="1:29" ht="317.10000000000002" customHeight="1" thickBot="1" x14ac:dyDescent="0.8">
      <c r="A263" s="396"/>
      <c r="B263" s="415"/>
      <c r="C263" s="415"/>
      <c r="D263" s="417"/>
      <c r="E263" s="47" t="s">
        <v>24</v>
      </c>
      <c r="F263" s="47">
        <v>12</v>
      </c>
      <c r="G263" s="143">
        <v>59.028866000000001</v>
      </c>
      <c r="H263" s="50">
        <f>+G263*(2.75/100)+1.816</f>
        <v>3.4392938150000001</v>
      </c>
      <c r="I263" s="50">
        <v>0</v>
      </c>
      <c r="J263" s="50">
        <f>((2174+474+291+552+32)*1000)/1000000</f>
        <v>3.5230000000000001</v>
      </c>
      <c r="K263" s="50">
        <f>+G263*(11/100)+0.892</f>
        <v>7.3851752600000005</v>
      </c>
      <c r="L263" s="51">
        <v>0</v>
      </c>
      <c r="M263" s="148">
        <f>((1500+3056+899+1622+23)*1000)/1000000</f>
        <v>7.1</v>
      </c>
      <c r="N263" s="50">
        <f t="shared" si="31"/>
        <v>10.824469075</v>
      </c>
      <c r="O263" s="50">
        <f t="shared" si="32"/>
        <v>10.622999999999999</v>
      </c>
      <c r="P263" s="50">
        <f t="shared" si="33"/>
        <v>0.20146907500000033</v>
      </c>
      <c r="Q263" s="111" t="s">
        <v>497</v>
      </c>
      <c r="R263" s="28" t="s">
        <v>95</v>
      </c>
      <c r="S263" s="7" t="s">
        <v>282</v>
      </c>
      <c r="T263" s="7" t="s">
        <v>283</v>
      </c>
      <c r="U263" s="7"/>
      <c r="V263" s="7"/>
      <c r="W263" s="7"/>
      <c r="X263" s="7"/>
      <c r="Y263" s="7"/>
      <c r="Z263" s="7"/>
      <c r="AA263" s="7"/>
      <c r="AB263" s="7"/>
      <c r="AC263" s="7"/>
    </row>
    <row r="264" spans="1:29" ht="317.10000000000002" customHeight="1" thickBot="1" x14ac:dyDescent="0.8">
      <c r="A264" s="20">
        <v>259</v>
      </c>
      <c r="B264" s="19" t="s">
        <v>644</v>
      </c>
      <c r="C264" s="19" t="s">
        <v>511</v>
      </c>
      <c r="D264" s="176">
        <v>176089045810</v>
      </c>
      <c r="E264" s="20" t="s">
        <v>20</v>
      </c>
      <c r="F264" s="20">
        <v>2</v>
      </c>
      <c r="G264" s="21">
        <v>0.35</v>
      </c>
      <c r="H264" s="21">
        <f>+G264*0.005</f>
        <v>1.7499999999999998E-3</v>
      </c>
      <c r="I264" s="21">
        <v>0</v>
      </c>
      <c r="J264" s="21">
        <f>((2*1000)/1000000)</f>
        <v>2E-3</v>
      </c>
      <c r="K264" s="21">
        <f>+G264*(8.5/100)</f>
        <v>2.9749999999999999E-2</v>
      </c>
      <c r="L264" s="22">
        <v>0</v>
      </c>
      <c r="M264" s="21">
        <f>((27*1000)/1000000)</f>
        <v>2.7E-2</v>
      </c>
      <c r="N264" s="21">
        <f t="shared" ref="N264:N327" si="36">+H264+K264</f>
        <v>3.15E-2</v>
      </c>
      <c r="O264" s="21">
        <f t="shared" si="32"/>
        <v>2.8999999999999998E-2</v>
      </c>
      <c r="P264" s="21">
        <f t="shared" si="33"/>
        <v>2.5000000000000022E-3</v>
      </c>
      <c r="Q264" s="109" t="s">
        <v>19</v>
      </c>
      <c r="R264" s="26" t="s">
        <v>97</v>
      </c>
      <c r="S264" s="10" t="s">
        <v>282</v>
      </c>
      <c r="T264" s="10" t="s">
        <v>283</v>
      </c>
    </row>
    <row r="265" spans="1:29" ht="317.10000000000002" customHeight="1" thickBot="1" x14ac:dyDescent="0.8">
      <c r="A265" s="20">
        <v>260</v>
      </c>
      <c r="B265" s="19" t="s">
        <v>645</v>
      </c>
      <c r="C265" s="19" t="s">
        <v>511</v>
      </c>
      <c r="D265" s="176">
        <v>279019006110</v>
      </c>
      <c r="E265" s="20" t="s">
        <v>20</v>
      </c>
      <c r="F265" s="20">
        <v>7.9</v>
      </c>
      <c r="G265" s="21">
        <v>7.0002190000000004</v>
      </c>
      <c r="H265" s="21">
        <f>+G265*0.005</f>
        <v>3.5001095000000003E-2</v>
      </c>
      <c r="I265" s="21">
        <v>0</v>
      </c>
      <c r="J265" s="21">
        <f>(28)*1000/1000000</f>
        <v>2.8000000000000001E-2</v>
      </c>
      <c r="K265" s="21">
        <f>+G265*(8.5/100)</f>
        <v>0.59501861500000008</v>
      </c>
      <c r="L265" s="22">
        <v>3.3250839999999999</v>
      </c>
      <c r="M265" s="21">
        <v>0</v>
      </c>
      <c r="N265" s="21">
        <f t="shared" si="36"/>
        <v>0.63001971000000012</v>
      </c>
      <c r="O265" s="21">
        <f t="shared" si="32"/>
        <v>3.353084</v>
      </c>
      <c r="P265" s="21">
        <f t="shared" si="33"/>
        <v>-2.7230642899999999</v>
      </c>
      <c r="Q265" s="109" t="s">
        <v>19</v>
      </c>
      <c r="R265" s="26" t="s">
        <v>61</v>
      </c>
      <c r="S265" s="10" t="s">
        <v>282</v>
      </c>
      <c r="T265" s="10" t="s">
        <v>310</v>
      </c>
    </row>
    <row r="266" spans="1:29" ht="317.10000000000002" customHeight="1" thickBot="1" x14ac:dyDescent="0.8">
      <c r="A266" s="394">
        <v>261</v>
      </c>
      <c r="B266" s="414" t="s">
        <v>646</v>
      </c>
      <c r="C266" s="414" t="s">
        <v>511</v>
      </c>
      <c r="D266" s="416">
        <v>510019006730</v>
      </c>
      <c r="E266" s="20" t="s">
        <v>18</v>
      </c>
      <c r="F266" s="20">
        <v>24</v>
      </c>
      <c r="G266" s="23">
        <v>152.64802700000001</v>
      </c>
      <c r="H266" s="23">
        <f>+G266*0.005</f>
        <v>0.7632401350000001</v>
      </c>
      <c r="I266" s="23">
        <v>0</v>
      </c>
      <c r="J266" s="23">
        <v>0</v>
      </c>
      <c r="K266" s="23">
        <f>+G266*(8.5/100)</f>
        <v>12.975082295000002</v>
      </c>
      <c r="L266" s="45">
        <v>0</v>
      </c>
      <c r="M266" s="23">
        <v>0</v>
      </c>
      <c r="N266" s="23">
        <f t="shared" si="36"/>
        <v>13.738322430000002</v>
      </c>
      <c r="O266" s="23">
        <f t="shared" si="32"/>
        <v>0</v>
      </c>
      <c r="P266" s="23">
        <f t="shared" si="33"/>
        <v>13.738322430000002</v>
      </c>
      <c r="Q266" s="109" t="s">
        <v>19</v>
      </c>
      <c r="R266" s="39" t="s">
        <v>347</v>
      </c>
      <c r="S266" s="10" t="s">
        <v>344</v>
      </c>
    </row>
    <row r="267" spans="1:29" ht="378.95" customHeight="1" thickBot="1" x14ac:dyDescent="0.8">
      <c r="A267" s="395"/>
      <c r="B267" s="418"/>
      <c r="C267" s="418"/>
      <c r="D267" s="419"/>
      <c r="E267" s="20" t="s">
        <v>20</v>
      </c>
      <c r="F267" s="20">
        <f>40000/1000</f>
        <v>40</v>
      </c>
      <c r="G267" s="21">
        <v>214.73048499999999</v>
      </c>
      <c r="H267" s="21">
        <f>+G267*0.005</f>
        <v>1.0736524249999999</v>
      </c>
      <c r="I267" s="21">
        <v>0</v>
      </c>
      <c r="J267" s="21">
        <v>0</v>
      </c>
      <c r="K267" s="21">
        <f>+G267*(8.5/100)</f>
        <v>18.252091225000001</v>
      </c>
      <c r="L267" s="22">
        <v>0</v>
      </c>
      <c r="M267" s="21">
        <v>0</v>
      </c>
      <c r="N267" s="21">
        <f t="shared" si="36"/>
        <v>19.32574365</v>
      </c>
      <c r="O267" s="21">
        <f t="shared" si="32"/>
        <v>0</v>
      </c>
      <c r="P267" s="21">
        <f t="shared" si="33"/>
        <v>19.32574365</v>
      </c>
      <c r="Q267" s="109" t="s">
        <v>19</v>
      </c>
      <c r="R267" s="39" t="s">
        <v>449</v>
      </c>
      <c r="S267" s="10" t="s">
        <v>344</v>
      </c>
    </row>
    <row r="268" spans="1:29" ht="317.10000000000002" customHeight="1" thickBot="1" x14ac:dyDescent="0.8">
      <c r="A268" s="396"/>
      <c r="B268" s="415"/>
      <c r="C268" s="415"/>
      <c r="D268" s="417"/>
      <c r="E268" s="20" t="s">
        <v>21</v>
      </c>
      <c r="F268" s="20">
        <v>40</v>
      </c>
      <c r="G268" s="20">
        <v>118.903002</v>
      </c>
      <c r="H268" s="23">
        <f>+G268*0.01</f>
        <v>1.1890300200000001</v>
      </c>
      <c r="I268" s="23">
        <v>0</v>
      </c>
      <c r="J268" s="23">
        <v>0</v>
      </c>
      <c r="K268" s="23">
        <f>+G268*(10/100)</f>
        <v>11.8903002</v>
      </c>
      <c r="L268" s="45">
        <v>0</v>
      </c>
      <c r="M268" s="23">
        <v>0</v>
      </c>
      <c r="N268" s="23">
        <f>+H268+K268</f>
        <v>13.079330220000001</v>
      </c>
      <c r="O268" s="23">
        <f>+((I268+J268)+(L268+M268))</f>
        <v>0</v>
      </c>
      <c r="P268" s="23">
        <f>+N268-O268</f>
        <v>13.079330220000001</v>
      </c>
      <c r="Q268" s="109" t="s">
        <v>19</v>
      </c>
      <c r="R268" s="26" t="s">
        <v>490</v>
      </c>
      <c r="S268" s="7" t="s">
        <v>344</v>
      </c>
      <c r="T268" s="7"/>
      <c r="U268" s="7"/>
      <c r="V268" s="7"/>
      <c r="W268" s="7"/>
      <c r="X268" s="7"/>
      <c r="Y268" s="7"/>
      <c r="Z268" s="7"/>
      <c r="AA268" s="7"/>
      <c r="AB268" s="7"/>
      <c r="AC268" s="7"/>
    </row>
    <row r="269" spans="1:29" ht="317.10000000000002" customHeight="1" thickBot="1" x14ac:dyDescent="0.8">
      <c r="A269" s="394">
        <v>264</v>
      </c>
      <c r="B269" s="19" t="s">
        <v>98</v>
      </c>
      <c r="C269" s="414" t="s">
        <v>511</v>
      </c>
      <c r="D269" s="416">
        <v>37279017847</v>
      </c>
      <c r="E269" s="20" t="s">
        <v>20</v>
      </c>
      <c r="F269" s="20">
        <v>16.329999999999998</v>
      </c>
      <c r="G269" s="21">
        <v>8.0496859999999995</v>
      </c>
      <c r="H269" s="21">
        <f>+G269*0.005</f>
        <v>4.0248429999999995E-2</v>
      </c>
      <c r="I269" s="21">
        <v>8.8093000000000004</v>
      </c>
      <c r="J269" s="21">
        <v>0</v>
      </c>
      <c r="K269" s="21">
        <f>+G269*(8.5/100)</f>
        <v>0.68422331000000003</v>
      </c>
      <c r="L269" s="22">
        <v>7.6330999999999998</v>
      </c>
      <c r="M269" s="21">
        <v>0</v>
      </c>
      <c r="N269" s="21">
        <f t="shared" si="36"/>
        <v>0.72447174000000003</v>
      </c>
      <c r="O269" s="21">
        <f t="shared" si="32"/>
        <v>16.442399999999999</v>
      </c>
      <c r="P269" s="21">
        <f t="shared" si="33"/>
        <v>-15.717928259999999</v>
      </c>
      <c r="Q269" s="109" t="s">
        <v>284</v>
      </c>
      <c r="R269" s="39" t="s">
        <v>367</v>
      </c>
      <c r="S269" s="10" t="s">
        <v>282</v>
      </c>
      <c r="T269" s="10" t="s">
        <v>310</v>
      </c>
    </row>
    <row r="270" spans="1:29" s="41" customFormat="1" ht="405" customHeight="1" thickBot="1" x14ac:dyDescent="0.8">
      <c r="A270" s="395"/>
      <c r="B270" s="145" t="s">
        <v>99</v>
      </c>
      <c r="C270" s="418"/>
      <c r="D270" s="419"/>
      <c r="E270" s="144" t="s">
        <v>21</v>
      </c>
      <c r="F270" s="144">
        <v>5</v>
      </c>
      <c r="G270" s="146">
        <v>7.3812499999999996</v>
      </c>
      <c r="H270" s="146">
        <f>+G270*0.01</f>
        <v>7.3812500000000003E-2</v>
      </c>
      <c r="I270" s="146">
        <f>2450741/1000000</f>
        <v>2.4507409999999998</v>
      </c>
      <c r="J270" s="146">
        <v>0</v>
      </c>
      <c r="K270" s="146">
        <f>+G270*(10/100)</f>
        <v>0.73812500000000003</v>
      </c>
      <c r="L270" s="147">
        <f>3007489/1000000</f>
        <v>3.0074890000000001</v>
      </c>
      <c r="M270" s="147">
        <v>0</v>
      </c>
      <c r="N270" s="146">
        <f t="shared" si="36"/>
        <v>0.81193749999999998</v>
      </c>
      <c r="O270" s="146">
        <f t="shared" si="32"/>
        <v>5.4582300000000004</v>
      </c>
      <c r="P270" s="146">
        <f t="shared" si="33"/>
        <v>-4.6462925000000004</v>
      </c>
      <c r="Q270" s="113" t="s">
        <v>284</v>
      </c>
      <c r="R270" s="40" t="s">
        <v>458</v>
      </c>
      <c r="S270" s="41" t="s">
        <v>282</v>
      </c>
      <c r="T270" s="41" t="s">
        <v>310</v>
      </c>
    </row>
    <row r="271" spans="1:29" s="41" customFormat="1" ht="408" customHeight="1" thickBot="1" x14ac:dyDescent="0.8">
      <c r="A271" s="396"/>
      <c r="B271" s="145" t="s">
        <v>99</v>
      </c>
      <c r="C271" s="415"/>
      <c r="D271" s="417"/>
      <c r="E271" s="144" t="s">
        <v>21</v>
      </c>
      <c r="F271" s="144">
        <v>16.329999999999998</v>
      </c>
      <c r="G271" s="146">
        <v>62.595599999999997</v>
      </c>
      <c r="H271" s="146">
        <f>+G271*0.01</f>
        <v>0.62595599999999996</v>
      </c>
      <c r="I271" s="146">
        <f>(0.8265+0.8494+0.7748+0.8206+0.7328+0.7463+0.8208+0.7606+0.7482+0.6483+0.7743+0.8532)</f>
        <v>9.3557999999999986</v>
      </c>
      <c r="J271" s="146">
        <v>0</v>
      </c>
      <c r="K271" s="146">
        <f>+G271*(10/100)</f>
        <v>6.2595600000000005</v>
      </c>
      <c r="L271" s="147">
        <f>(0.6541+1.0396+1.3142+1.6148+1.8745+0.9168+0.2651+0.3272+0.5298+0.1202+0.1318+0.146)</f>
        <v>8.9341000000000026</v>
      </c>
      <c r="M271" s="147">
        <v>0</v>
      </c>
      <c r="N271" s="146">
        <f t="shared" si="36"/>
        <v>6.8855160000000009</v>
      </c>
      <c r="O271" s="146">
        <f t="shared" si="32"/>
        <v>18.289900000000003</v>
      </c>
      <c r="P271" s="146">
        <f t="shared" si="33"/>
        <v>-11.404384000000002</v>
      </c>
      <c r="Q271" s="113" t="s">
        <v>100</v>
      </c>
      <c r="R271" s="40" t="s">
        <v>467</v>
      </c>
      <c r="S271" s="41" t="s">
        <v>282</v>
      </c>
      <c r="T271" s="41" t="s">
        <v>310</v>
      </c>
    </row>
    <row r="272" spans="1:29" ht="317.10000000000002" customHeight="1" thickBot="1" x14ac:dyDescent="0.8">
      <c r="A272" s="20">
        <v>267</v>
      </c>
      <c r="B272" s="19" t="s">
        <v>647</v>
      </c>
      <c r="C272" s="19" t="s">
        <v>511</v>
      </c>
      <c r="D272" s="176">
        <v>251599005210</v>
      </c>
      <c r="E272" s="20" t="s">
        <v>20</v>
      </c>
      <c r="F272" s="20">
        <v>2</v>
      </c>
      <c r="G272" s="21">
        <v>6.5094079999999996</v>
      </c>
      <c r="H272" s="21">
        <f>+G272*0.005</f>
        <v>3.2547039999999999E-2</v>
      </c>
      <c r="I272" s="21">
        <v>0</v>
      </c>
      <c r="J272" s="21">
        <f>(24+6)*1000/1000000</f>
        <v>0.03</v>
      </c>
      <c r="K272" s="21">
        <f>+G272*(8.5/100)</f>
        <v>0.55329967999999996</v>
      </c>
      <c r="L272" s="22">
        <v>0</v>
      </c>
      <c r="M272" s="21">
        <f>(94+403)*1000/1000000</f>
        <v>0.497</v>
      </c>
      <c r="N272" s="21">
        <f t="shared" si="36"/>
        <v>0.58584671999999993</v>
      </c>
      <c r="O272" s="21">
        <f t="shared" si="32"/>
        <v>0.52700000000000002</v>
      </c>
      <c r="P272" s="21">
        <f t="shared" si="33"/>
        <v>5.8846719999999908E-2</v>
      </c>
      <c r="Q272" s="109" t="s">
        <v>284</v>
      </c>
      <c r="R272" s="39" t="s">
        <v>425</v>
      </c>
      <c r="S272" s="10" t="s">
        <v>282</v>
      </c>
      <c r="T272" s="10" t="s">
        <v>283</v>
      </c>
    </row>
    <row r="273" spans="1:29" ht="317.10000000000002" customHeight="1" thickBot="1" x14ac:dyDescent="0.8">
      <c r="A273" s="394">
        <v>268</v>
      </c>
      <c r="B273" s="428" t="s">
        <v>101</v>
      </c>
      <c r="C273" s="414" t="s">
        <v>511</v>
      </c>
      <c r="D273" s="416">
        <v>49069000702</v>
      </c>
      <c r="E273" s="20" t="s">
        <v>18</v>
      </c>
      <c r="F273" s="20">
        <v>6</v>
      </c>
      <c r="G273" s="44">
        <v>24.038125999999998</v>
      </c>
      <c r="H273" s="23">
        <f>+G273*0.005</f>
        <v>0.12019062999999999</v>
      </c>
      <c r="I273" s="23">
        <v>0</v>
      </c>
      <c r="J273" s="23">
        <f>(0.099+0.015)</f>
        <v>0.114</v>
      </c>
      <c r="K273" s="23">
        <f>+G273*(8.5/100)</f>
        <v>2.0432407100000001</v>
      </c>
      <c r="L273" s="45">
        <v>0</v>
      </c>
      <c r="M273" s="23">
        <f>(1.676+0.247)</f>
        <v>1.923</v>
      </c>
      <c r="N273" s="23">
        <f t="shared" si="36"/>
        <v>2.1634313400000003</v>
      </c>
      <c r="O273" s="23">
        <f t="shared" si="32"/>
        <v>2.0369999999999999</v>
      </c>
      <c r="P273" s="23">
        <f t="shared" si="33"/>
        <v>0.12643134000000034</v>
      </c>
      <c r="Q273" s="109" t="s">
        <v>307</v>
      </c>
      <c r="R273" s="39" t="s">
        <v>315</v>
      </c>
      <c r="S273" s="10" t="s">
        <v>279</v>
      </c>
      <c r="T273" s="10" t="s">
        <v>283</v>
      </c>
    </row>
    <row r="274" spans="1:29" ht="317.10000000000002" customHeight="1" thickBot="1" x14ac:dyDescent="0.8">
      <c r="A274" s="395"/>
      <c r="B274" s="429"/>
      <c r="C274" s="418"/>
      <c r="D274" s="419"/>
      <c r="E274" s="20" t="s">
        <v>20</v>
      </c>
      <c r="F274" s="20">
        <v>6</v>
      </c>
      <c r="G274" s="21">
        <v>29.885545</v>
      </c>
      <c r="H274" s="21">
        <f>+G274*0.005</f>
        <v>0.14942772500000001</v>
      </c>
      <c r="I274" s="21">
        <v>0</v>
      </c>
      <c r="J274" s="21">
        <v>0.14199999999999999</v>
      </c>
      <c r="K274" s="21">
        <f>+G274*(8.5/100)</f>
        <v>2.5402713250000004</v>
      </c>
      <c r="L274" s="22">
        <v>0</v>
      </c>
      <c r="M274" s="21">
        <v>2.4049999999999998</v>
      </c>
      <c r="N274" s="21">
        <f t="shared" si="36"/>
        <v>2.6896990500000006</v>
      </c>
      <c r="O274" s="21">
        <f t="shared" si="32"/>
        <v>2.5469999999999997</v>
      </c>
      <c r="P274" s="21">
        <f t="shared" si="33"/>
        <v>0.14269905000000094</v>
      </c>
      <c r="Q274" s="109" t="s">
        <v>305</v>
      </c>
      <c r="R274" s="39" t="s">
        <v>369</v>
      </c>
      <c r="S274" s="10" t="s">
        <v>282</v>
      </c>
      <c r="T274" s="10" t="s">
        <v>283</v>
      </c>
    </row>
    <row r="275" spans="1:29" ht="317.10000000000002" customHeight="1" thickBot="1" x14ac:dyDescent="0.8">
      <c r="A275" s="395"/>
      <c r="B275" s="429"/>
      <c r="C275" s="418"/>
      <c r="D275" s="419"/>
      <c r="E275" s="20" t="s">
        <v>21</v>
      </c>
      <c r="F275" s="20">
        <v>6</v>
      </c>
      <c r="G275" s="23">
        <v>25.653870999999999</v>
      </c>
      <c r="H275" s="23">
        <f>+G275*0.01</f>
        <v>0.25653871</v>
      </c>
      <c r="I275" s="23">
        <v>0.32740000000000002</v>
      </c>
      <c r="J275" s="23">
        <f>(0*1000)/1000000</f>
        <v>0</v>
      </c>
      <c r="K275" s="23">
        <f>+G275*(10/100)</f>
        <v>2.5653871000000001</v>
      </c>
      <c r="L275" s="45">
        <v>0</v>
      </c>
      <c r="M275" s="23">
        <f>(2353*1000)/1000000</f>
        <v>2.3530000000000002</v>
      </c>
      <c r="N275" s="23">
        <f>+H275+K275</f>
        <v>2.8219258100000002</v>
      </c>
      <c r="O275" s="23">
        <f>+((I275+J275)+(L275+M275))</f>
        <v>2.6804000000000001</v>
      </c>
      <c r="P275" s="23">
        <f>+N275-O275</f>
        <v>0.14152581000000009</v>
      </c>
      <c r="Q275" s="109" t="s">
        <v>284</v>
      </c>
      <c r="R275" s="39" t="s">
        <v>455</v>
      </c>
      <c r="S275" s="10" t="s">
        <v>282</v>
      </c>
      <c r="T275" s="10" t="s">
        <v>283</v>
      </c>
    </row>
    <row r="276" spans="1:29" ht="317.10000000000002" customHeight="1" thickBot="1" x14ac:dyDescent="0.8">
      <c r="A276" s="395"/>
      <c r="B276" s="429"/>
      <c r="C276" s="418"/>
      <c r="D276" s="419"/>
      <c r="E276" s="58" t="s">
        <v>22</v>
      </c>
      <c r="F276" s="59">
        <v>6</v>
      </c>
      <c r="G276" s="60">
        <f>20075274/1000000</f>
        <v>20.075274</v>
      </c>
      <c r="H276" s="60">
        <f>+G276*0.02</f>
        <v>0.40150548000000003</v>
      </c>
      <c r="I276" s="152">
        <v>0</v>
      </c>
      <c r="J276" s="60">
        <f>(0*1000)/1000000</f>
        <v>0</v>
      </c>
      <c r="K276" s="60">
        <f>+G276*(10.5/100)</f>
        <v>2.1079037700000001</v>
      </c>
      <c r="L276" s="61">
        <v>1.5345</v>
      </c>
      <c r="M276" s="60">
        <f>(220*1000)/1000000</f>
        <v>0.22</v>
      </c>
      <c r="N276" s="60">
        <f>+H276+K276</f>
        <v>2.50940925</v>
      </c>
      <c r="O276" s="60">
        <f>+((I276+J276)+(L276+M276))</f>
        <v>1.7544999999999999</v>
      </c>
      <c r="P276" s="60">
        <f>+N276-O276</f>
        <v>0.75490925000000009</v>
      </c>
      <c r="Q276" s="110" t="s">
        <v>19</v>
      </c>
      <c r="R276" s="27" t="s">
        <v>102</v>
      </c>
      <c r="S276" s="7" t="s">
        <v>282</v>
      </c>
      <c r="T276" s="7" t="s">
        <v>283</v>
      </c>
      <c r="U276" s="7"/>
      <c r="V276" s="7"/>
      <c r="W276" s="7"/>
      <c r="X276" s="7"/>
      <c r="Y276" s="7"/>
      <c r="Z276" s="7"/>
      <c r="AA276" s="7"/>
      <c r="AB276" s="7"/>
      <c r="AC276" s="7"/>
    </row>
    <row r="277" spans="1:29" ht="317.10000000000002" customHeight="1" thickBot="1" x14ac:dyDescent="0.8">
      <c r="A277" s="396"/>
      <c r="B277" s="430"/>
      <c r="C277" s="415"/>
      <c r="D277" s="417"/>
      <c r="E277" s="47" t="s">
        <v>24</v>
      </c>
      <c r="F277" s="138">
        <v>6</v>
      </c>
      <c r="G277" s="139">
        <v>16.541625</v>
      </c>
      <c r="H277" s="50">
        <f>+G277*(2.75/100)</f>
        <v>0.45489468750000001</v>
      </c>
      <c r="I277" s="148">
        <v>0</v>
      </c>
      <c r="J277" s="50">
        <f>(63*1000)/1000000</f>
        <v>6.3E-2</v>
      </c>
      <c r="K277" s="50">
        <f>+G277*(11/100)</f>
        <v>1.81957875</v>
      </c>
      <c r="L277" s="149">
        <v>1.9776</v>
      </c>
      <c r="M277" s="50">
        <v>0</v>
      </c>
      <c r="N277" s="50">
        <f t="shared" si="36"/>
        <v>2.2744734375000002</v>
      </c>
      <c r="O277" s="50">
        <f t="shared" si="32"/>
        <v>2.0406</v>
      </c>
      <c r="P277" s="50">
        <f t="shared" si="33"/>
        <v>0.23387343750000023</v>
      </c>
      <c r="Q277" s="111" t="s">
        <v>494</v>
      </c>
      <c r="R277" s="28" t="s">
        <v>495</v>
      </c>
      <c r="S277" s="7" t="s">
        <v>282</v>
      </c>
      <c r="T277" s="7" t="s">
        <v>283</v>
      </c>
      <c r="U277" s="7"/>
      <c r="V277" s="7"/>
      <c r="W277" s="7"/>
      <c r="X277" s="7"/>
      <c r="Y277" s="7"/>
      <c r="Z277" s="7"/>
      <c r="AA277" s="7"/>
      <c r="AB277" s="7"/>
      <c r="AC277" s="7"/>
    </row>
    <row r="278" spans="1:29" ht="317.10000000000002" customHeight="1" thickBot="1" x14ac:dyDescent="0.8">
      <c r="A278" s="17">
        <v>273</v>
      </c>
      <c r="B278" s="16" t="s">
        <v>649</v>
      </c>
      <c r="C278" s="16" t="s">
        <v>648</v>
      </c>
      <c r="D278" s="200">
        <v>900000001640</v>
      </c>
      <c r="E278" s="20" t="s">
        <v>18</v>
      </c>
      <c r="F278" s="20">
        <v>7.87</v>
      </c>
      <c r="G278" s="23">
        <v>25.22</v>
      </c>
      <c r="H278" s="23">
        <f>+G278*0.005</f>
        <v>0.12609999999999999</v>
      </c>
      <c r="I278" s="23">
        <v>0</v>
      </c>
      <c r="J278" s="23">
        <f>+(117+3)/1000</f>
        <v>0.12</v>
      </c>
      <c r="K278" s="23">
        <f>+G278*(8.5/100)</f>
        <v>2.1436999999999999</v>
      </c>
      <c r="L278" s="45">
        <v>0</v>
      </c>
      <c r="M278" s="23">
        <f>+(1984+41)/1000</f>
        <v>2.0249999999999999</v>
      </c>
      <c r="N278" s="23">
        <f>+H278+K278</f>
        <v>2.2698</v>
      </c>
      <c r="O278" s="23">
        <f>+((I278+J278)+(L278+M278))</f>
        <v>2.145</v>
      </c>
      <c r="P278" s="23">
        <f>+N278-O278</f>
        <v>0.12480000000000002</v>
      </c>
      <c r="Q278" s="109" t="s">
        <v>319</v>
      </c>
      <c r="R278" s="26" t="s">
        <v>320</v>
      </c>
      <c r="S278" s="10" t="s">
        <v>282</v>
      </c>
      <c r="T278" s="10" t="s">
        <v>283</v>
      </c>
    </row>
    <row r="279" spans="1:29" ht="317.10000000000002" customHeight="1" thickBot="1" x14ac:dyDescent="0.8">
      <c r="A279" s="201"/>
      <c r="B279" s="418"/>
      <c r="C279" s="418"/>
      <c r="D279" s="419"/>
      <c r="E279" s="20" t="s">
        <v>20</v>
      </c>
      <c r="F279" s="20">
        <v>6</v>
      </c>
      <c r="G279" s="21">
        <v>34.466099999999997</v>
      </c>
      <c r="H279" s="21">
        <f>+G279*0.005</f>
        <v>0.1723305</v>
      </c>
      <c r="I279" s="21">
        <v>0</v>
      </c>
      <c r="J279" s="21">
        <v>0.17199999999999999</v>
      </c>
      <c r="K279" s="21">
        <f>+G279*(8.5/100)</f>
        <v>2.9296185000000001</v>
      </c>
      <c r="L279" s="22">
        <v>0</v>
      </c>
      <c r="M279" s="21">
        <v>2.9119999999999999</v>
      </c>
      <c r="N279" s="21">
        <f>+H279+K279</f>
        <v>3.1019490000000003</v>
      </c>
      <c r="O279" s="21">
        <f>+((I279+J279)+(L279+M279))</f>
        <v>3.0840000000000001</v>
      </c>
      <c r="P279" s="21">
        <f>+N279-O279</f>
        <v>1.7949000000000215E-2</v>
      </c>
      <c r="Q279" s="109" t="s">
        <v>372</v>
      </c>
      <c r="R279" s="26" t="s">
        <v>373</v>
      </c>
      <c r="S279" s="10" t="s">
        <v>282</v>
      </c>
      <c r="T279" s="10" t="s">
        <v>283</v>
      </c>
    </row>
    <row r="280" spans="1:29" ht="317.10000000000002" customHeight="1" thickBot="1" x14ac:dyDescent="0.8">
      <c r="A280" s="20">
        <v>293</v>
      </c>
      <c r="B280" s="418"/>
      <c r="C280" s="418"/>
      <c r="D280" s="419"/>
      <c r="E280" s="144" t="s">
        <v>20</v>
      </c>
      <c r="F280" s="144">
        <v>7.83</v>
      </c>
      <c r="G280" s="202">
        <v>34.72</v>
      </c>
      <c r="H280" s="202">
        <f>+G280*0.005</f>
        <v>0.1736</v>
      </c>
      <c r="I280" s="202">
        <v>0</v>
      </c>
      <c r="J280" s="202">
        <v>0</v>
      </c>
      <c r="K280" s="202">
        <f>+G280*(8.5/100)</f>
        <v>2.9512</v>
      </c>
      <c r="L280" s="203">
        <v>0</v>
      </c>
      <c r="M280" s="202">
        <v>0</v>
      </c>
      <c r="N280" s="202">
        <f>+H280+K280</f>
        <v>3.1248</v>
      </c>
      <c r="O280" s="202">
        <f>+((I280+J280)+(L280+M280))</f>
        <v>0</v>
      </c>
      <c r="P280" s="202">
        <f>+N280-O280</f>
        <v>3.1248</v>
      </c>
      <c r="Q280" s="113" t="s">
        <v>46</v>
      </c>
      <c r="R280" s="100" t="s">
        <v>445</v>
      </c>
      <c r="S280" s="41" t="s">
        <v>344</v>
      </c>
    </row>
    <row r="281" spans="1:29" ht="317.10000000000002" customHeight="1" thickBot="1" x14ac:dyDescent="0.8">
      <c r="A281" s="201"/>
      <c r="B281" s="418"/>
      <c r="C281" s="418"/>
      <c r="D281" s="419"/>
      <c r="E281" s="20" t="s">
        <v>21</v>
      </c>
      <c r="F281" s="20">
        <v>6</v>
      </c>
      <c r="G281" s="23">
        <v>29.066500000000001</v>
      </c>
      <c r="H281" s="23">
        <f>+G281*0.01</f>
        <v>0.29066500000000001</v>
      </c>
      <c r="I281" s="23">
        <v>0</v>
      </c>
      <c r="J281" s="23">
        <f>(123*1000)/1000000</f>
        <v>0.123</v>
      </c>
      <c r="K281" s="23">
        <f>+G281*(10/100)</f>
        <v>2.9066500000000004</v>
      </c>
      <c r="L281" s="45">
        <v>0</v>
      </c>
      <c r="M281" s="23">
        <f>((116+2791)*1000)/1000000</f>
        <v>2.907</v>
      </c>
      <c r="N281" s="23">
        <f>+H281+K281</f>
        <v>3.1973150000000006</v>
      </c>
      <c r="O281" s="23">
        <f>+((I281+J281)+(L281+M281))</f>
        <v>3.0300000000000002</v>
      </c>
      <c r="P281" s="23">
        <f>+N281-O281</f>
        <v>0.16731500000000032</v>
      </c>
      <c r="Q281" s="109" t="s">
        <v>284</v>
      </c>
      <c r="R281" s="39" t="s">
        <v>454</v>
      </c>
      <c r="S281" s="10" t="s">
        <v>282</v>
      </c>
      <c r="T281" s="10" t="s">
        <v>283</v>
      </c>
    </row>
    <row r="282" spans="1:29" ht="317.10000000000002" customHeight="1" thickBot="1" x14ac:dyDescent="0.8">
      <c r="A282" s="201"/>
      <c r="B282" s="418"/>
      <c r="C282" s="418"/>
      <c r="D282" s="419"/>
      <c r="E282" s="58" t="s">
        <v>22</v>
      </c>
      <c r="F282" s="58">
        <v>7</v>
      </c>
      <c r="G282" s="60">
        <v>22.065177988994499</v>
      </c>
      <c r="H282" s="60">
        <f>+G282*0.02</f>
        <v>0.44130355977989</v>
      </c>
      <c r="I282" s="152">
        <v>0</v>
      </c>
      <c r="J282" s="60">
        <f>((201)*1000)/1000000</f>
        <v>0.20100000000000001</v>
      </c>
      <c r="K282" s="60">
        <f>+G282*(10.5/100)</f>
        <v>2.3168436888444224</v>
      </c>
      <c r="L282" s="61">
        <v>1.6576</v>
      </c>
      <c r="M282" s="60">
        <f>((406+10)*1000)/1000000</f>
        <v>0.41599999999999998</v>
      </c>
      <c r="N282" s="60">
        <f t="shared" si="36"/>
        <v>2.7581472486243124</v>
      </c>
      <c r="O282" s="60">
        <f t="shared" si="32"/>
        <v>2.2746</v>
      </c>
      <c r="P282" s="60">
        <f t="shared" si="33"/>
        <v>0.48354724862431242</v>
      </c>
      <c r="Q282" s="110" t="s">
        <v>492</v>
      </c>
      <c r="R282" s="42" t="s">
        <v>103</v>
      </c>
      <c r="S282" s="7" t="s">
        <v>282</v>
      </c>
      <c r="T282" s="7" t="s">
        <v>283</v>
      </c>
      <c r="U282" s="7"/>
      <c r="V282" s="7"/>
      <c r="W282" s="7"/>
      <c r="X282" s="7"/>
      <c r="Y282" s="7"/>
      <c r="Z282" s="7"/>
      <c r="AA282" s="7"/>
      <c r="AB282" s="7"/>
      <c r="AC282" s="7"/>
    </row>
    <row r="283" spans="1:29" ht="381" customHeight="1" thickBot="1" x14ac:dyDescent="0.8">
      <c r="A283" s="175"/>
      <c r="B283" s="415"/>
      <c r="C283" s="415"/>
      <c r="D283" s="417"/>
      <c r="E283" s="139" t="s">
        <v>24</v>
      </c>
      <c r="F283" s="139">
        <v>7</v>
      </c>
      <c r="G283" s="150">
        <v>21.790493000000001</v>
      </c>
      <c r="H283" s="150">
        <f>+G283*(2.75/100)</f>
        <v>0.59923855749999999</v>
      </c>
      <c r="I283" s="150">
        <v>0</v>
      </c>
      <c r="J283" s="150">
        <v>0.36</v>
      </c>
      <c r="K283" s="150">
        <f>+G283*(11/100)</f>
        <v>2.39695423</v>
      </c>
      <c r="L283" s="151">
        <v>2.2252999999999998</v>
      </c>
      <c r="M283" s="150">
        <v>0.28100000000000003</v>
      </c>
      <c r="N283" s="150">
        <f t="shared" si="36"/>
        <v>2.9961927875000001</v>
      </c>
      <c r="O283" s="150">
        <f t="shared" si="32"/>
        <v>2.8662999999999998</v>
      </c>
      <c r="P283" s="150">
        <f t="shared" si="33"/>
        <v>0.12989278750000022</v>
      </c>
      <c r="Q283" s="116" t="s">
        <v>104</v>
      </c>
      <c r="R283" s="43" t="s">
        <v>105</v>
      </c>
      <c r="S283" s="7" t="s">
        <v>282</v>
      </c>
      <c r="T283" s="7" t="s">
        <v>283</v>
      </c>
      <c r="U283" s="7"/>
      <c r="V283" s="7"/>
      <c r="W283" s="7"/>
      <c r="X283" s="7"/>
      <c r="Y283" s="7"/>
      <c r="Z283" s="7"/>
      <c r="AA283" s="7"/>
      <c r="AB283" s="7"/>
      <c r="AC283" s="7"/>
    </row>
    <row r="284" spans="1:29" ht="317.10000000000002" customHeight="1" thickBot="1" x14ac:dyDescent="0.8">
      <c r="A284" s="20">
        <v>278</v>
      </c>
      <c r="B284" s="19" t="s">
        <v>650</v>
      </c>
      <c r="C284" s="19" t="s">
        <v>511</v>
      </c>
      <c r="D284" s="176">
        <v>410019000684</v>
      </c>
      <c r="E284" s="20" t="s">
        <v>20</v>
      </c>
      <c r="F284" s="20">
        <v>2.25</v>
      </c>
      <c r="G284" s="21">
        <v>1.376225</v>
      </c>
      <c r="H284" s="21">
        <f>+G284*0.005</f>
        <v>6.8811250000000001E-3</v>
      </c>
      <c r="I284" s="21">
        <v>0</v>
      </c>
      <c r="J284" s="21">
        <v>0</v>
      </c>
      <c r="K284" s="21">
        <f>+G284*(8.5/100)</f>
        <v>0.11697912500000002</v>
      </c>
      <c r="L284" s="22">
        <v>0</v>
      </c>
      <c r="M284" s="21">
        <f>((92)*1000)/1000000</f>
        <v>9.1999999999999998E-2</v>
      </c>
      <c r="N284" s="21">
        <f t="shared" si="36"/>
        <v>0.12386025000000002</v>
      </c>
      <c r="O284" s="21">
        <f t="shared" si="32"/>
        <v>9.1999999999999998E-2</v>
      </c>
      <c r="P284" s="21">
        <f t="shared" si="33"/>
        <v>3.186025000000002E-2</v>
      </c>
      <c r="Q284" s="109" t="s">
        <v>292</v>
      </c>
      <c r="R284" s="26" t="s">
        <v>106</v>
      </c>
      <c r="S284" s="10" t="s">
        <v>282</v>
      </c>
      <c r="T284" s="10" t="s">
        <v>283</v>
      </c>
    </row>
    <row r="285" spans="1:29" ht="317.10000000000002" customHeight="1" thickBot="1" x14ac:dyDescent="0.8">
      <c r="A285" s="20">
        <v>279</v>
      </c>
      <c r="B285" s="414" t="s">
        <v>651</v>
      </c>
      <c r="C285" s="414" t="s">
        <v>511</v>
      </c>
      <c r="D285" s="416">
        <v>50499005382</v>
      </c>
      <c r="E285" s="20" t="s">
        <v>18</v>
      </c>
      <c r="F285" s="20">
        <v>1.75</v>
      </c>
      <c r="G285" s="44">
        <v>6.3305949999999998</v>
      </c>
      <c r="H285" s="23">
        <f>+G285*0.005</f>
        <v>3.1652975E-2</v>
      </c>
      <c r="I285" s="23">
        <v>9.1899999999999996E-2</v>
      </c>
      <c r="J285" s="23">
        <v>0</v>
      </c>
      <c r="K285" s="23">
        <f>+G285*(8.5/100)</f>
        <v>0.53810057499999997</v>
      </c>
      <c r="L285" s="45">
        <v>0</v>
      </c>
      <c r="M285" s="23">
        <f>(399+55)/1000</f>
        <v>0.45400000000000001</v>
      </c>
      <c r="N285" s="23">
        <f>+H285+K285</f>
        <v>0.56975354999999994</v>
      </c>
      <c r="O285" s="23">
        <f>+((I285+J285)+(L285+M285))</f>
        <v>0.54590000000000005</v>
      </c>
      <c r="P285" s="23">
        <f>+N285-O285</f>
        <v>2.385354999999989E-2</v>
      </c>
      <c r="Q285" s="109" t="s">
        <v>284</v>
      </c>
      <c r="R285" s="26" t="s">
        <v>321</v>
      </c>
      <c r="S285" s="10" t="s">
        <v>282</v>
      </c>
      <c r="T285" s="10" t="s">
        <v>283</v>
      </c>
    </row>
    <row r="286" spans="1:29" ht="317.10000000000002" customHeight="1" thickBot="1" x14ac:dyDescent="0.8">
      <c r="A286" s="20"/>
      <c r="B286" s="415"/>
      <c r="C286" s="415"/>
      <c r="D286" s="417"/>
      <c r="E286" s="20" t="s">
        <v>20</v>
      </c>
      <c r="F286" s="20">
        <v>1.75</v>
      </c>
      <c r="G286" s="21">
        <v>7.6098559999999997</v>
      </c>
      <c r="H286" s="21">
        <f>+G286*0.005</f>
        <v>3.8049279999999998E-2</v>
      </c>
      <c r="I286" s="21">
        <v>0</v>
      </c>
      <c r="J286" s="21">
        <v>0</v>
      </c>
      <c r="K286" s="21">
        <f>+G286*(8.5/100)</f>
        <v>0.64683776000000004</v>
      </c>
      <c r="L286" s="22">
        <v>0.52200000000000002</v>
      </c>
      <c r="M286" s="21">
        <f>(399+55)/1000</f>
        <v>0.45400000000000001</v>
      </c>
      <c r="N286" s="21">
        <f t="shared" si="36"/>
        <v>0.68488704</v>
      </c>
      <c r="O286" s="21">
        <f t="shared" si="32"/>
        <v>0.97599999999999998</v>
      </c>
      <c r="P286" s="21">
        <f t="shared" si="33"/>
        <v>-0.29111295999999998</v>
      </c>
      <c r="Q286" s="109" t="s">
        <v>284</v>
      </c>
      <c r="R286" s="26" t="s">
        <v>374</v>
      </c>
      <c r="S286" s="10" t="s">
        <v>282</v>
      </c>
      <c r="T286" s="10" t="s">
        <v>310</v>
      </c>
    </row>
    <row r="287" spans="1:29" ht="317.10000000000002" customHeight="1" thickBot="1" x14ac:dyDescent="0.8">
      <c r="A287" s="20">
        <v>281</v>
      </c>
      <c r="B287" s="414" t="s">
        <v>107</v>
      </c>
      <c r="C287" s="414" t="s">
        <v>511</v>
      </c>
      <c r="D287" s="416">
        <v>176029030058</v>
      </c>
      <c r="E287" s="20" t="s">
        <v>20</v>
      </c>
      <c r="F287" s="20">
        <v>5</v>
      </c>
      <c r="G287" s="21">
        <v>24.08286</v>
      </c>
      <c r="H287" s="21">
        <f>+G287*0.005</f>
        <v>0.1204143</v>
      </c>
      <c r="I287" s="21">
        <v>0</v>
      </c>
      <c r="J287" s="21">
        <v>0</v>
      </c>
      <c r="K287" s="21">
        <f>+G287*(8.5/100)</f>
        <v>2.0470431000000002</v>
      </c>
      <c r="L287" s="22">
        <v>0</v>
      </c>
      <c r="M287" s="21">
        <v>0</v>
      </c>
      <c r="N287" s="21">
        <f>+H287+K287</f>
        <v>2.1674574000000004</v>
      </c>
      <c r="O287" s="21">
        <f>+((I287+J287)+(L287+M287))</f>
        <v>0</v>
      </c>
      <c r="P287" s="21">
        <f>+N287-O287</f>
        <v>2.1674574000000004</v>
      </c>
      <c r="Q287" s="109" t="s">
        <v>19</v>
      </c>
      <c r="R287" s="26" t="s">
        <v>446</v>
      </c>
      <c r="S287" s="10" t="s">
        <v>344</v>
      </c>
    </row>
    <row r="288" spans="1:29" ht="408.95" customHeight="1" thickBot="1" x14ac:dyDescent="0.8">
      <c r="A288" s="20">
        <v>282</v>
      </c>
      <c r="B288" s="418"/>
      <c r="C288" s="418"/>
      <c r="D288" s="419"/>
      <c r="E288" s="20" t="s">
        <v>21</v>
      </c>
      <c r="F288" s="20">
        <v>5</v>
      </c>
      <c r="G288" s="20">
        <v>25.244385000000001</v>
      </c>
      <c r="H288" s="23">
        <f>+G288*0.01</f>
        <v>0.25244385000000003</v>
      </c>
      <c r="I288" s="23">
        <v>0</v>
      </c>
      <c r="J288" s="23">
        <v>0</v>
      </c>
      <c r="K288" s="23">
        <f>+G288*(10/100)</f>
        <v>2.5244385000000005</v>
      </c>
      <c r="L288" s="45">
        <v>0</v>
      </c>
      <c r="M288" s="23">
        <v>0</v>
      </c>
      <c r="N288" s="23">
        <f t="shared" si="36"/>
        <v>2.7768823500000006</v>
      </c>
      <c r="O288" s="23">
        <f t="shared" si="32"/>
        <v>0</v>
      </c>
      <c r="P288" s="23">
        <f t="shared" si="33"/>
        <v>2.7768823500000006</v>
      </c>
      <c r="Q288" s="109" t="s">
        <v>19</v>
      </c>
      <c r="R288" s="26" t="s">
        <v>489</v>
      </c>
      <c r="S288" s="10" t="s">
        <v>344</v>
      </c>
    </row>
    <row r="289" spans="1:29" ht="389.1" customHeight="1" thickBot="1" x14ac:dyDescent="0.8">
      <c r="A289" s="20">
        <v>283</v>
      </c>
      <c r="B289" s="418"/>
      <c r="C289" s="418"/>
      <c r="D289" s="419"/>
      <c r="E289" s="58" t="s">
        <v>22</v>
      </c>
      <c r="F289" s="58">
        <v>5</v>
      </c>
      <c r="G289" s="60">
        <f>22431738/1000000</f>
        <v>22.431737999999999</v>
      </c>
      <c r="H289" s="60">
        <f>+G289*0.02</f>
        <v>0.44863476000000002</v>
      </c>
      <c r="I289" s="60">
        <v>0</v>
      </c>
      <c r="J289" s="60">
        <v>0</v>
      </c>
      <c r="K289" s="60">
        <f>+G289*(10.5/100)</f>
        <v>2.3553324899999999</v>
      </c>
      <c r="L289" s="61">
        <v>0</v>
      </c>
      <c r="M289" s="60">
        <v>0</v>
      </c>
      <c r="N289" s="60">
        <f t="shared" si="36"/>
        <v>2.8039672499999999</v>
      </c>
      <c r="O289" s="60">
        <f t="shared" si="32"/>
        <v>0</v>
      </c>
      <c r="P289" s="60">
        <f t="shared" si="33"/>
        <v>2.8039672499999999</v>
      </c>
      <c r="Q289" s="110" t="s">
        <v>19</v>
      </c>
      <c r="R289" s="27" t="s">
        <v>108</v>
      </c>
      <c r="S289" s="7" t="s">
        <v>344</v>
      </c>
      <c r="T289" s="7"/>
      <c r="U289" s="7"/>
      <c r="V289" s="7"/>
      <c r="W289" s="7"/>
      <c r="X289" s="7"/>
      <c r="Y289" s="7"/>
      <c r="Z289" s="7"/>
      <c r="AA289" s="7"/>
      <c r="AB289" s="7"/>
      <c r="AC289" s="7"/>
    </row>
    <row r="290" spans="1:29" ht="408.95" customHeight="1" thickBot="1" x14ac:dyDescent="0.8">
      <c r="A290" s="20">
        <v>284</v>
      </c>
      <c r="B290" s="415"/>
      <c r="C290" s="415"/>
      <c r="D290" s="417"/>
      <c r="E290" s="47" t="s">
        <v>24</v>
      </c>
      <c r="F290" s="47">
        <v>5</v>
      </c>
      <c r="G290" s="143">
        <v>17.038278999999999</v>
      </c>
      <c r="H290" s="50">
        <f>+G290*(2.75/100)</f>
        <v>0.46855267249999999</v>
      </c>
      <c r="I290" s="50">
        <v>0</v>
      </c>
      <c r="J290" s="50">
        <v>0</v>
      </c>
      <c r="K290" s="50">
        <f>+G290*(11/100)</f>
        <v>1.87421069</v>
      </c>
      <c r="L290" s="51">
        <v>0</v>
      </c>
      <c r="M290" s="50">
        <v>0</v>
      </c>
      <c r="N290" s="50">
        <f t="shared" si="36"/>
        <v>2.3427633624999999</v>
      </c>
      <c r="O290" s="50">
        <f t="shared" si="32"/>
        <v>0</v>
      </c>
      <c r="P290" s="50">
        <f t="shared" si="33"/>
        <v>2.3427633624999999</v>
      </c>
      <c r="Q290" s="111" t="s">
        <v>497</v>
      </c>
      <c r="R290" s="28" t="s">
        <v>84</v>
      </c>
      <c r="S290" s="7" t="s">
        <v>344</v>
      </c>
      <c r="T290" s="7"/>
      <c r="U290" s="7"/>
      <c r="V290" s="7"/>
      <c r="W290" s="7"/>
      <c r="X290" s="7"/>
      <c r="Y290" s="7"/>
      <c r="Z290" s="7"/>
      <c r="AA290" s="7"/>
      <c r="AB290" s="7"/>
      <c r="AC290" s="7"/>
    </row>
    <row r="291" spans="1:29" ht="317.10000000000002" customHeight="1" thickBot="1" x14ac:dyDescent="0.8">
      <c r="A291" s="20">
        <v>285</v>
      </c>
      <c r="B291" s="19" t="s">
        <v>652</v>
      </c>
      <c r="C291" s="19" t="s">
        <v>511</v>
      </c>
      <c r="D291" s="176">
        <v>170149001673</v>
      </c>
      <c r="E291" s="20" t="s">
        <v>18</v>
      </c>
      <c r="F291" s="20">
        <v>25</v>
      </c>
      <c r="G291" s="23">
        <v>44.913530999999999</v>
      </c>
      <c r="H291" s="23">
        <f>+G291*0.005</f>
        <v>0.224567655</v>
      </c>
      <c r="I291" s="23">
        <v>0</v>
      </c>
      <c r="J291" s="23">
        <v>0.20599999999999999</v>
      </c>
      <c r="K291" s="23">
        <f>+G291*(8.5/100)</f>
        <v>3.8176501350000001</v>
      </c>
      <c r="L291" s="45">
        <v>3.2072150000000001</v>
      </c>
      <c r="M291" s="23">
        <v>0.70199999999999996</v>
      </c>
      <c r="N291" s="23">
        <f t="shared" si="36"/>
        <v>4.0422177900000005</v>
      </c>
      <c r="O291" s="23">
        <f t="shared" si="32"/>
        <v>4.1152150000000001</v>
      </c>
      <c r="P291" s="23">
        <f t="shared" si="33"/>
        <v>-7.299720999999959E-2</v>
      </c>
      <c r="Q291" s="109" t="s">
        <v>284</v>
      </c>
      <c r="R291" s="26" t="s">
        <v>314</v>
      </c>
      <c r="S291" s="10" t="s">
        <v>282</v>
      </c>
      <c r="T291" s="10" t="s">
        <v>310</v>
      </c>
    </row>
    <row r="292" spans="1:29" ht="317.10000000000002" customHeight="1" thickBot="1" x14ac:dyDescent="0.8">
      <c r="A292" s="20">
        <v>286</v>
      </c>
      <c r="B292" s="19" t="s">
        <v>653</v>
      </c>
      <c r="C292" s="19" t="s">
        <v>511</v>
      </c>
      <c r="D292" s="176">
        <v>176029030058</v>
      </c>
      <c r="E292" s="20" t="s">
        <v>18</v>
      </c>
      <c r="F292" s="20">
        <v>5</v>
      </c>
      <c r="G292" s="23">
        <v>21.409088000000001</v>
      </c>
      <c r="H292" s="23">
        <f>+G292*0.005</f>
        <v>0.10704544000000001</v>
      </c>
      <c r="I292" s="23">
        <v>0</v>
      </c>
      <c r="J292" s="23">
        <v>0</v>
      </c>
      <c r="K292" s="23">
        <f>+G292*(8.5/100)</f>
        <v>1.8197724800000001</v>
      </c>
      <c r="L292" s="45">
        <v>0</v>
      </c>
      <c r="M292" s="23">
        <v>0</v>
      </c>
      <c r="N292" s="23">
        <f>+H292+K292</f>
        <v>1.9268179200000002</v>
      </c>
      <c r="O292" s="23">
        <f>+((I292+J292)+(L292+M292))</f>
        <v>0</v>
      </c>
      <c r="P292" s="23">
        <f>+N292-O292</f>
        <v>1.9268179200000002</v>
      </c>
      <c r="Q292" s="109" t="s">
        <v>56</v>
      </c>
      <c r="R292" s="26" t="s">
        <v>346</v>
      </c>
      <c r="S292" s="10" t="s">
        <v>344</v>
      </c>
    </row>
    <row r="293" spans="1:29" ht="317.10000000000002" customHeight="1" thickBot="1" x14ac:dyDescent="0.8">
      <c r="A293" s="394">
        <v>291</v>
      </c>
      <c r="B293" s="414" t="s">
        <v>110</v>
      </c>
      <c r="C293" s="431" t="s">
        <v>511</v>
      </c>
      <c r="D293" s="434">
        <v>181209030548</v>
      </c>
      <c r="E293" s="20" t="s">
        <v>20</v>
      </c>
      <c r="F293" s="20">
        <v>10</v>
      </c>
      <c r="G293" s="21">
        <f>50069567
/1000000</f>
        <v>50.069566999999999</v>
      </c>
      <c r="H293" s="21">
        <f>+G293*0.005</f>
        <v>0.25034783500000002</v>
      </c>
      <c r="I293" s="21">
        <v>0</v>
      </c>
      <c r="J293" s="21">
        <v>0</v>
      </c>
      <c r="K293" s="21">
        <f>+G293*(8.5/100)</f>
        <v>4.2559131950000006</v>
      </c>
      <c r="L293" s="22">
        <v>0</v>
      </c>
      <c r="M293" s="21">
        <v>0</v>
      </c>
      <c r="N293" s="21">
        <f>+H293+K293</f>
        <v>4.506261030000001</v>
      </c>
      <c r="O293" s="21">
        <f>+((I293+J293)+(L293+M293))</f>
        <v>0</v>
      </c>
      <c r="P293" s="21">
        <f>+N293-O293</f>
        <v>4.506261030000001</v>
      </c>
      <c r="Q293" s="109" t="s">
        <v>19</v>
      </c>
      <c r="R293" s="26" t="s">
        <v>447</v>
      </c>
      <c r="S293" s="10" t="s">
        <v>344</v>
      </c>
    </row>
    <row r="294" spans="1:29" ht="317.10000000000002" customHeight="1" thickBot="1" x14ac:dyDescent="0.8">
      <c r="A294" s="395"/>
      <c r="B294" s="418"/>
      <c r="C294" s="432"/>
      <c r="D294" s="435"/>
      <c r="E294" s="20" t="s">
        <v>21</v>
      </c>
      <c r="F294" s="20">
        <v>10</v>
      </c>
      <c r="G294" s="20">
        <v>41.129961999999999</v>
      </c>
      <c r="H294" s="23">
        <f>+G294*0.01</f>
        <v>0.41129961999999998</v>
      </c>
      <c r="I294" s="23">
        <v>0</v>
      </c>
      <c r="J294" s="23">
        <v>0</v>
      </c>
      <c r="K294" s="23">
        <f>+G294*(10/100)</f>
        <v>4.1129962000000004</v>
      </c>
      <c r="L294" s="45">
        <v>0</v>
      </c>
      <c r="M294" s="23">
        <v>0</v>
      </c>
      <c r="N294" s="23">
        <f t="shared" si="36"/>
        <v>4.5242958200000007</v>
      </c>
      <c r="O294" s="23">
        <f t="shared" si="32"/>
        <v>0</v>
      </c>
      <c r="P294" s="23">
        <f t="shared" si="33"/>
        <v>4.5242958200000007</v>
      </c>
      <c r="Q294" s="109" t="s">
        <v>19</v>
      </c>
      <c r="R294" s="26" t="s">
        <v>490</v>
      </c>
      <c r="S294" s="10" t="s">
        <v>344</v>
      </c>
    </row>
    <row r="295" spans="1:29" ht="317.10000000000002" customHeight="1" thickBot="1" x14ac:dyDescent="0.8">
      <c r="A295" s="395"/>
      <c r="B295" s="418"/>
      <c r="C295" s="432"/>
      <c r="D295" s="435"/>
      <c r="E295" s="58" t="s">
        <v>22</v>
      </c>
      <c r="F295" s="58">
        <v>10</v>
      </c>
      <c r="G295" s="60">
        <f>37568799/1000000</f>
        <v>37.568798999999999</v>
      </c>
      <c r="H295" s="60">
        <f>+G295*0.02</f>
        <v>0.75137597999999994</v>
      </c>
      <c r="I295" s="60">
        <v>0</v>
      </c>
      <c r="J295" s="60">
        <v>0</v>
      </c>
      <c r="K295" s="60">
        <f>+G295*(10.5/100)</f>
        <v>3.9447238949999996</v>
      </c>
      <c r="L295" s="61">
        <v>0</v>
      </c>
      <c r="M295" s="60">
        <v>0</v>
      </c>
      <c r="N295" s="60">
        <f t="shared" si="36"/>
        <v>4.6960998749999998</v>
      </c>
      <c r="O295" s="60">
        <f t="shared" si="32"/>
        <v>0</v>
      </c>
      <c r="P295" s="60">
        <f t="shared" si="33"/>
        <v>4.6960998749999998</v>
      </c>
      <c r="Q295" s="110" t="s">
        <v>19</v>
      </c>
      <c r="R295" s="27" t="s">
        <v>109</v>
      </c>
      <c r="S295" s="7" t="s">
        <v>344</v>
      </c>
      <c r="T295" s="7"/>
      <c r="U295" s="7"/>
      <c r="V295" s="7"/>
      <c r="W295" s="7"/>
      <c r="X295" s="7"/>
      <c r="Y295" s="7"/>
      <c r="Z295" s="7"/>
      <c r="AA295" s="7"/>
      <c r="AB295" s="7"/>
      <c r="AC295" s="7"/>
    </row>
    <row r="296" spans="1:29" ht="371.1" customHeight="1" thickBot="1" x14ac:dyDescent="0.8">
      <c r="A296" s="395"/>
      <c r="B296" s="418"/>
      <c r="C296" s="432"/>
      <c r="D296" s="435"/>
      <c r="E296" s="47" t="s">
        <v>24</v>
      </c>
      <c r="F296" s="47">
        <v>10</v>
      </c>
      <c r="G296" s="143">
        <v>35.907800999999999</v>
      </c>
      <c r="H296" s="50">
        <f>+G296*(2.75/100)</f>
        <v>0.98746452750000002</v>
      </c>
      <c r="I296" s="50">
        <v>0</v>
      </c>
      <c r="J296" s="50">
        <v>0</v>
      </c>
      <c r="K296" s="50">
        <f>+G296*(11/100)</f>
        <v>3.9498581100000001</v>
      </c>
      <c r="L296" s="51">
        <v>0</v>
      </c>
      <c r="M296" s="50">
        <v>0</v>
      </c>
      <c r="N296" s="50">
        <f t="shared" si="36"/>
        <v>4.9373226375000003</v>
      </c>
      <c r="O296" s="50">
        <f t="shared" si="32"/>
        <v>0</v>
      </c>
      <c r="P296" s="50">
        <f t="shared" si="33"/>
        <v>4.9373226375000003</v>
      </c>
      <c r="Q296" s="111" t="s">
        <v>496</v>
      </c>
      <c r="R296" s="28" t="s">
        <v>84</v>
      </c>
      <c r="S296" s="7" t="s">
        <v>344</v>
      </c>
      <c r="T296" s="7"/>
      <c r="U296" s="7"/>
      <c r="V296" s="7"/>
      <c r="W296" s="7"/>
      <c r="X296" s="7"/>
      <c r="Y296" s="7"/>
      <c r="Z296" s="7"/>
      <c r="AA296" s="7"/>
      <c r="AB296" s="7"/>
      <c r="AC296" s="7"/>
    </row>
    <row r="297" spans="1:29" ht="317.10000000000002" customHeight="1" thickBot="1" x14ac:dyDescent="0.8">
      <c r="A297" s="396"/>
      <c r="B297" s="415"/>
      <c r="C297" s="433"/>
      <c r="D297" s="436"/>
      <c r="E297" s="53" t="s">
        <v>27</v>
      </c>
      <c r="F297" s="140">
        <v>5</v>
      </c>
      <c r="G297" s="141">
        <f>5016719/1000000</f>
        <v>5.0167190000000002</v>
      </c>
      <c r="H297" s="141">
        <f>+G297*(3.5/100)</f>
        <v>0.17558516500000002</v>
      </c>
      <c r="I297" s="141">
        <v>0</v>
      </c>
      <c r="J297" s="141">
        <v>0</v>
      </c>
      <c r="K297" s="141">
        <f>+G297*(11.5/100)</f>
        <v>0.57692268499999999</v>
      </c>
      <c r="L297" s="142">
        <v>0</v>
      </c>
      <c r="M297" s="54">
        <v>0</v>
      </c>
      <c r="N297" s="54">
        <f>+H297+K297</f>
        <v>0.75250784999999998</v>
      </c>
      <c r="O297" s="54">
        <f>+((I297+J297)+(L297+M297))</f>
        <v>0</v>
      </c>
      <c r="P297" s="54">
        <f>+N297-O297</f>
        <v>0.75250784999999998</v>
      </c>
      <c r="Q297" s="112" t="s">
        <v>25</v>
      </c>
      <c r="R297" s="38" t="s">
        <v>85</v>
      </c>
      <c r="S297" s="7" t="s">
        <v>344</v>
      </c>
      <c r="T297" s="7"/>
      <c r="U297" s="7"/>
      <c r="V297" s="7"/>
      <c r="W297" s="7"/>
      <c r="X297" s="7"/>
      <c r="Y297" s="7"/>
      <c r="Z297" s="7"/>
      <c r="AA297" s="7"/>
      <c r="AB297" s="7"/>
      <c r="AC297" s="7"/>
    </row>
    <row r="298" spans="1:29" ht="317.10000000000002" customHeight="1" thickBot="1" x14ac:dyDescent="0.8">
      <c r="A298" s="20">
        <v>292</v>
      </c>
      <c r="B298" s="19" t="s">
        <v>654</v>
      </c>
      <c r="C298" s="19" t="s">
        <v>511</v>
      </c>
      <c r="D298" s="176">
        <v>170149001673</v>
      </c>
      <c r="E298" s="20" t="s">
        <v>20</v>
      </c>
      <c r="F298" s="20">
        <v>2.4</v>
      </c>
      <c r="G298" s="21">
        <v>21.749769000000001</v>
      </c>
      <c r="H298" s="21">
        <f t="shared" ref="H298:H301" si="37">+G298*0.005</f>
        <v>0.10874884500000001</v>
      </c>
      <c r="I298" s="21">
        <v>0</v>
      </c>
      <c r="J298" s="21">
        <v>0</v>
      </c>
      <c r="K298" s="21">
        <f t="shared" ref="K298:K301" si="38">+G298*(8.5/100)</f>
        <v>1.8487303650000002</v>
      </c>
      <c r="L298" s="22">
        <v>0</v>
      </c>
      <c r="M298" s="21">
        <v>0</v>
      </c>
      <c r="N298" s="21">
        <f t="shared" si="36"/>
        <v>1.9574792100000002</v>
      </c>
      <c r="O298" s="21">
        <f t="shared" si="32"/>
        <v>0</v>
      </c>
      <c r="P298" s="21">
        <f t="shared" si="33"/>
        <v>1.9574792100000002</v>
      </c>
      <c r="Q298" s="109" t="s">
        <v>19</v>
      </c>
      <c r="R298" s="26" t="s">
        <v>446</v>
      </c>
      <c r="S298" s="10" t="s">
        <v>344</v>
      </c>
    </row>
    <row r="299" spans="1:29" ht="317.10000000000002" customHeight="1" thickBot="1" x14ac:dyDescent="0.8">
      <c r="A299" s="20">
        <v>294</v>
      </c>
      <c r="B299" s="19" t="s">
        <v>655</v>
      </c>
      <c r="C299" s="19" t="s">
        <v>511</v>
      </c>
      <c r="D299" s="176">
        <v>102696289</v>
      </c>
      <c r="E299" s="20" t="s">
        <v>20</v>
      </c>
      <c r="F299" s="20">
        <v>3</v>
      </c>
      <c r="G299" s="21">
        <f>16004709.2696605/1000000</f>
        <v>16.004709269660502</v>
      </c>
      <c r="H299" s="21">
        <f t="shared" si="37"/>
        <v>8.0023546348302513E-2</v>
      </c>
      <c r="I299" s="21">
        <v>0</v>
      </c>
      <c r="J299" s="21">
        <f>((75)*1000)/1000000</f>
        <v>7.4999999999999997E-2</v>
      </c>
      <c r="K299" s="21">
        <f t="shared" si="38"/>
        <v>1.3604002879211428</v>
      </c>
      <c r="L299" s="22">
        <v>0</v>
      </c>
      <c r="M299" s="21">
        <f>((1268)*1000)/1000000</f>
        <v>1.268</v>
      </c>
      <c r="N299" s="21">
        <f t="shared" si="36"/>
        <v>1.4404238342694453</v>
      </c>
      <c r="O299" s="21">
        <f t="shared" ref="O299:O360" si="39">+((I299+J299)+(L299+M299))</f>
        <v>1.343</v>
      </c>
      <c r="P299" s="21">
        <f t="shared" ref="P299:P360" si="40">+N299-O299</f>
        <v>9.7423834269445342E-2</v>
      </c>
      <c r="Q299" s="109" t="s">
        <v>406</v>
      </c>
      <c r="R299" s="26" t="s">
        <v>407</v>
      </c>
      <c r="S299" s="10" t="s">
        <v>282</v>
      </c>
      <c r="T299" s="10" t="s">
        <v>283</v>
      </c>
    </row>
    <row r="300" spans="1:29" ht="317.10000000000002" customHeight="1" thickBot="1" x14ac:dyDescent="0.8">
      <c r="A300" s="20">
        <v>295</v>
      </c>
      <c r="B300" s="414" t="s">
        <v>656</v>
      </c>
      <c r="C300" s="414" t="s">
        <v>511</v>
      </c>
      <c r="D300" s="416">
        <v>30949002817</v>
      </c>
      <c r="E300" s="20" t="s">
        <v>18</v>
      </c>
      <c r="F300" s="20">
        <v>46</v>
      </c>
      <c r="G300" s="23">
        <v>103.65337599999999</v>
      </c>
      <c r="H300" s="23">
        <f t="shared" si="37"/>
        <v>0.51826687999999999</v>
      </c>
      <c r="I300" s="23">
        <v>0</v>
      </c>
      <c r="J300" s="23">
        <f>(63+400)*1000/1000000</f>
        <v>0.46300000000000002</v>
      </c>
      <c r="K300" s="23">
        <f t="shared" si="38"/>
        <v>8.8105369600000003</v>
      </c>
      <c r="L300" s="45">
        <v>0</v>
      </c>
      <c r="M300" s="23">
        <f>+(1074+3941+2850)/1000</f>
        <v>7.8650000000000002</v>
      </c>
      <c r="N300" s="23">
        <f>+H300+K300</f>
        <v>9.3288038400000008</v>
      </c>
      <c r="O300" s="23">
        <f>+((I300+J300)+(L300+M300))</f>
        <v>8.3279999999999994</v>
      </c>
      <c r="P300" s="23">
        <f>+N300-O300</f>
        <v>1.0008038400000014</v>
      </c>
      <c r="Q300" s="109" t="s">
        <v>277</v>
      </c>
      <c r="R300" s="26" t="s">
        <v>291</v>
      </c>
      <c r="S300" s="10" t="s">
        <v>282</v>
      </c>
      <c r="T300" s="10" t="s">
        <v>283</v>
      </c>
    </row>
    <row r="301" spans="1:29" ht="317.10000000000002" customHeight="1" thickBot="1" x14ac:dyDescent="0.8">
      <c r="A301" s="20">
        <v>296</v>
      </c>
      <c r="B301" s="418"/>
      <c r="C301" s="418"/>
      <c r="D301" s="419"/>
      <c r="E301" s="20" t="s">
        <v>20</v>
      </c>
      <c r="F301" s="20">
        <v>46</v>
      </c>
      <c r="G301" s="21">
        <v>108.954404</v>
      </c>
      <c r="H301" s="21">
        <f t="shared" si="37"/>
        <v>0.54477202000000002</v>
      </c>
      <c r="I301" s="21">
        <v>0</v>
      </c>
      <c r="J301" s="21">
        <v>0.47499999999999998</v>
      </c>
      <c r="K301" s="21">
        <f t="shared" si="38"/>
        <v>9.2611243400000003</v>
      </c>
      <c r="L301" s="22">
        <v>1.31</v>
      </c>
      <c r="M301" s="21">
        <f>+(6147+610)/1000</f>
        <v>6.7569999999999997</v>
      </c>
      <c r="N301" s="21">
        <f>+H301+K301</f>
        <v>9.8058963600000002</v>
      </c>
      <c r="O301" s="21">
        <f>+((I301+J301)+(L301+M301))</f>
        <v>8.5419999999999998</v>
      </c>
      <c r="P301" s="21">
        <f>+N301-O301</f>
        <v>1.2638963600000004</v>
      </c>
      <c r="Q301" s="109" t="s">
        <v>284</v>
      </c>
      <c r="R301" s="26" t="s">
        <v>353</v>
      </c>
      <c r="S301" s="10" t="s">
        <v>282</v>
      </c>
      <c r="T301" s="10" t="s">
        <v>283</v>
      </c>
    </row>
    <row r="302" spans="1:29" ht="317.10000000000002" customHeight="1" thickBot="1" x14ac:dyDescent="0.8">
      <c r="A302" s="20">
        <v>297</v>
      </c>
      <c r="B302" s="418"/>
      <c r="C302" s="418"/>
      <c r="D302" s="419"/>
      <c r="E302" s="20" t="s">
        <v>21</v>
      </c>
      <c r="F302" s="20">
        <v>25</v>
      </c>
      <c r="G302" s="23">
        <v>87.770105999999998</v>
      </c>
      <c r="H302" s="23">
        <f>+G302*0.01</f>
        <v>0.87770106000000003</v>
      </c>
      <c r="I302" s="23">
        <v>1.026</v>
      </c>
      <c r="J302" s="23">
        <f>(0*1000)/1000000</f>
        <v>0</v>
      </c>
      <c r="K302" s="23">
        <f>+G302*(10/100)</f>
        <v>8.7770106000000006</v>
      </c>
      <c r="L302" s="45">
        <v>10.068</v>
      </c>
      <c r="M302" s="23">
        <f>(0*1000)/1000000</f>
        <v>0</v>
      </c>
      <c r="N302" s="23">
        <f t="shared" si="36"/>
        <v>9.6547116600000003</v>
      </c>
      <c r="O302" s="23">
        <f t="shared" si="39"/>
        <v>11.093999999999999</v>
      </c>
      <c r="P302" s="23">
        <f t="shared" si="40"/>
        <v>-1.4392883399999992</v>
      </c>
      <c r="Q302" s="109" t="s">
        <v>284</v>
      </c>
      <c r="R302" s="26" t="s">
        <v>476</v>
      </c>
      <c r="S302" s="10" t="s">
        <v>282</v>
      </c>
      <c r="T302" s="10" t="s">
        <v>310</v>
      </c>
    </row>
    <row r="303" spans="1:29" ht="317.10000000000002" customHeight="1" thickBot="1" x14ac:dyDescent="0.8">
      <c r="A303" s="20">
        <v>298</v>
      </c>
      <c r="B303" s="418"/>
      <c r="C303" s="418"/>
      <c r="D303" s="419"/>
      <c r="E303" s="58" t="s">
        <v>22</v>
      </c>
      <c r="F303" s="58">
        <v>25</v>
      </c>
      <c r="G303" s="60">
        <f>76586917/1000000</f>
        <v>76.586917</v>
      </c>
      <c r="H303" s="60">
        <f>+G303*0.02</f>
        <v>1.53173834</v>
      </c>
      <c r="I303" s="60">
        <f>(0*1000)/1000000</f>
        <v>0</v>
      </c>
      <c r="J303" s="60">
        <f>(1380*1000)/1000000</f>
        <v>1.38</v>
      </c>
      <c r="K303" s="60">
        <f>+G303*(10.5/100)</f>
        <v>8.0416262849999995</v>
      </c>
      <c r="L303" s="61">
        <v>6.9420000000000002</v>
      </c>
      <c r="M303" s="60">
        <f>((110+189)*1000)/1000000</f>
        <v>0.29899999999999999</v>
      </c>
      <c r="N303" s="60">
        <f t="shared" si="36"/>
        <v>9.573364625</v>
      </c>
      <c r="O303" s="60">
        <f t="shared" si="39"/>
        <v>8.6210000000000004</v>
      </c>
      <c r="P303" s="60">
        <f t="shared" si="40"/>
        <v>0.95236462499999952</v>
      </c>
      <c r="Q303" s="110" t="s">
        <v>19</v>
      </c>
      <c r="R303" s="27" t="s">
        <v>111</v>
      </c>
      <c r="S303" s="7" t="s">
        <v>282</v>
      </c>
      <c r="T303" s="7" t="s">
        <v>283</v>
      </c>
      <c r="U303" s="7"/>
      <c r="V303" s="7"/>
      <c r="W303" s="7"/>
      <c r="X303" s="7"/>
      <c r="Y303" s="7"/>
      <c r="Z303" s="7"/>
      <c r="AA303" s="7"/>
      <c r="AB303" s="7"/>
      <c r="AC303" s="7"/>
    </row>
    <row r="304" spans="1:29" ht="317.10000000000002" customHeight="1" thickBot="1" x14ac:dyDescent="0.8">
      <c r="A304" s="20">
        <v>299</v>
      </c>
      <c r="B304" s="415"/>
      <c r="C304" s="415"/>
      <c r="D304" s="417"/>
      <c r="E304" s="47" t="s">
        <v>24</v>
      </c>
      <c r="F304" s="138">
        <v>25</v>
      </c>
      <c r="G304" s="139">
        <v>58.592920999999997</v>
      </c>
      <c r="H304" s="50">
        <f>+G304*(2.75/100)</f>
        <v>1.6113053275</v>
      </c>
      <c r="I304" s="50">
        <f>(0*1000)/1000000</f>
        <v>0</v>
      </c>
      <c r="J304" s="50">
        <f>((694+699)*1000)/1000000</f>
        <v>1.393</v>
      </c>
      <c r="K304" s="50">
        <f>+G304*(11/100)</f>
        <v>6.44522131</v>
      </c>
      <c r="L304" s="149">
        <v>12.4</v>
      </c>
      <c r="M304" s="50">
        <f>((0)*1000)/1000000</f>
        <v>0</v>
      </c>
      <c r="N304" s="50">
        <f t="shared" si="36"/>
        <v>8.0565266374999993</v>
      </c>
      <c r="O304" s="50">
        <f t="shared" si="39"/>
        <v>13.793000000000001</v>
      </c>
      <c r="P304" s="50">
        <f t="shared" si="40"/>
        <v>-5.7364733625000017</v>
      </c>
      <c r="Q304" s="111" t="s">
        <v>497</v>
      </c>
      <c r="R304" s="28" t="s">
        <v>112</v>
      </c>
      <c r="S304" s="7" t="s">
        <v>282</v>
      </c>
      <c r="T304" s="7" t="s">
        <v>310</v>
      </c>
      <c r="U304" s="7"/>
      <c r="V304" s="7"/>
      <c r="W304" s="7"/>
      <c r="X304" s="7"/>
      <c r="Y304" s="7"/>
      <c r="Z304" s="7"/>
      <c r="AA304" s="7"/>
      <c r="AB304" s="7"/>
      <c r="AC304" s="7"/>
    </row>
    <row r="305" spans="1:29" ht="317.10000000000002" customHeight="1" thickBot="1" x14ac:dyDescent="0.8">
      <c r="A305" s="394">
        <v>300</v>
      </c>
      <c r="B305" s="414" t="s">
        <v>657</v>
      </c>
      <c r="C305" s="414" t="s">
        <v>511</v>
      </c>
      <c r="D305" s="416">
        <v>176029043730</v>
      </c>
      <c r="E305" s="20" t="s">
        <v>18</v>
      </c>
      <c r="F305" s="20">
        <v>7</v>
      </c>
      <c r="G305" s="23">
        <v>27.819164000000001</v>
      </c>
      <c r="H305" s="23">
        <f>+G305*0.005</f>
        <v>0.13909582000000001</v>
      </c>
      <c r="I305" s="23">
        <v>0</v>
      </c>
      <c r="J305" s="23">
        <v>0.19600000000000001</v>
      </c>
      <c r="K305" s="23">
        <f>+G305*(8.5/100)</f>
        <v>2.3646289400000002</v>
      </c>
      <c r="L305" s="45">
        <v>0</v>
      </c>
      <c r="M305" s="23">
        <v>2.0880000000000001</v>
      </c>
      <c r="N305" s="23">
        <f t="shared" si="36"/>
        <v>2.5037247600000003</v>
      </c>
      <c r="O305" s="23">
        <f t="shared" si="39"/>
        <v>2.2840000000000003</v>
      </c>
      <c r="P305" s="23">
        <f t="shared" si="40"/>
        <v>0.21972476000000007</v>
      </c>
      <c r="Q305" s="109" t="s">
        <v>305</v>
      </c>
      <c r="R305" s="26" t="s">
        <v>306</v>
      </c>
      <c r="S305" s="10" t="s">
        <v>282</v>
      </c>
      <c r="T305" s="10" t="s">
        <v>283</v>
      </c>
    </row>
    <row r="306" spans="1:29" ht="407.1" customHeight="1" thickBot="1" x14ac:dyDescent="0.8">
      <c r="A306" s="395"/>
      <c r="B306" s="418"/>
      <c r="C306" s="418"/>
      <c r="D306" s="419"/>
      <c r="E306" s="20" t="s">
        <v>20</v>
      </c>
      <c r="F306" s="20">
        <v>7</v>
      </c>
      <c r="G306" s="21">
        <v>43.765262999999997</v>
      </c>
      <c r="H306" s="21">
        <f>+G306*0.005</f>
        <v>0.21882631499999999</v>
      </c>
      <c r="I306" s="21">
        <v>0</v>
      </c>
      <c r="J306" s="21">
        <v>0</v>
      </c>
      <c r="K306" s="21">
        <f>+G306*(8.5/100)</f>
        <v>3.7200473550000002</v>
      </c>
      <c r="L306" s="22">
        <v>0</v>
      </c>
      <c r="M306" s="21">
        <v>0</v>
      </c>
      <c r="N306" s="21">
        <f t="shared" si="36"/>
        <v>3.93887367</v>
      </c>
      <c r="O306" s="21">
        <f t="shared" si="39"/>
        <v>0</v>
      </c>
      <c r="P306" s="21">
        <f t="shared" si="40"/>
        <v>3.93887367</v>
      </c>
      <c r="Q306" s="109" t="s">
        <v>19</v>
      </c>
      <c r="R306" s="26" t="s">
        <v>446</v>
      </c>
      <c r="S306" s="10" t="s">
        <v>344</v>
      </c>
    </row>
    <row r="307" spans="1:29" ht="317.10000000000002" customHeight="1" thickBot="1" x14ac:dyDescent="0.8">
      <c r="A307" s="395"/>
      <c r="B307" s="418"/>
      <c r="C307" s="418"/>
      <c r="D307" s="419"/>
      <c r="E307" s="20" t="s">
        <v>21</v>
      </c>
      <c r="F307" s="20">
        <v>7</v>
      </c>
      <c r="G307" s="20">
        <v>33.936732999999997</v>
      </c>
      <c r="H307" s="23">
        <f>+G307*0.01</f>
        <v>0.33936732999999997</v>
      </c>
      <c r="I307" s="23">
        <v>0</v>
      </c>
      <c r="J307" s="23">
        <v>0</v>
      </c>
      <c r="K307" s="23">
        <f>+G307*(10/100)</f>
        <v>3.3936732999999997</v>
      </c>
      <c r="L307" s="45">
        <v>0</v>
      </c>
      <c r="M307" s="23">
        <v>0</v>
      </c>
      <c r="N307" s="23">
        <f t="shared" si="36"/>
        <v>3.7330406299999996</v>
      </c>
      <c r="O307" s="23">
        <f t="shared" si="39"/>
        <v>0</v>
      </c>
      <c r="P307" s="23">
        <f t="shared" si="40"/>
        <v>3.7330406299999996</v>
      </c>
      <c r="Q307" s="109" t="s">
        <v>284</v>
      </c>
      <c r="R307" s="26" t="s">
        <v>477</v>
      </c>
      <c r="S307" s="10" t="s">
        <v>282</v>
      </c>
      <c r="T307" s="10" t="s">
        <v>283</v>
      </c>
    </row>
    <row r="308" spans="1:29" ht="317.10000000000002" customHeight="1" thickBot="1" x14ac:dyDescent="0.8">
      <c r="A308" s="395"/>
      <c r="B308" s="418"/>
      <c r="C308" s="418"/>
      <c r="D308" s="419"/>
      <c r="E308" s="58" t="s">
        <v>22</v>
      </c>
      <c r="F308" s="58">
        <v>7</v>
      </c>
      <c r="G308" s="58">
        <f>27066253/1000000</f>
        <v>27.066253</v>
      </c>
      <c r="H308" s="60">
        <f>+G308*0.02</f>
        <v>0.54132506000000002</v>
      </c>
      <c r="I308" s="152">
        <v>0</v>
      </c>
      <c r="J308" s="60">
        <f>(131*1000)/1000000</f>
        <v>0.13100000000000001</v>
      </c>
      <c r="K308" s="60">
        <f>+G308*(10.5/100)</f>
        <v>2.8419565649999998</v>
      </c>
      <c r="L308" s="61">
        <f>(0.2316+0.4546+0.6045+0.4833+0.2223+0.1108+0.1863+0.2722+0.1604+0.227+0.181)</f>
        <v>3.1339999999999999</v>
      </c>
      <c r="M308" s="60">
        <f>(0*1000)/1000000</f>
        <v>0</v>
      </c>
      <c r="N308" s="60">
        <f>+H308+K308</f>
        <v>3.383281625</v>
      </c>
      <c r="O308" s="60">
        <f>+((I308+J308)+(L308+M308))</f>
        <v>3.2649999999999997</v>
      </c>
      <c r="P308" s="60">
        <f>+N308-O308</f>
        <v>0.11828162500000028</v>
      </c>
      <c r="Q308" s="110" t="s">
        <v>19</v>
      </c>
      <c r="R308" s="27" t="s">
        <v>113</v>
      </c>
      <c r="S308" s="7" t="s">
        <v>282</v>
      </c>
      <c r="T308" s="7" t="s">
        <v>283</v>
      </c>
      <c r="U308" s="7"/>
      <c r="V308" s="7"/>
      <c r="W308" s="7"/>
      <c r="X308" s="7"/>
      <c r="Y308" s="7"/>
      <c r="Z308" s="7"/>
      <c r="AA308" s="7"/>
      <c r="AB308" s="7"/>
      <c r="AC308" s="7"/>
    </row>
    <row r="309" spans="1:29" ht="317.10000000000002" customHeight="1" thickBot="1" x14ac:dyDescent="0.8">
      <c r="A309" s="396"/>
      <c r="B309" s="415"/>
      <c r="C309" s="415"/>
      <c r="D309" s="417"/>
      <c r="E309" s="47" t="s">
        <v>24</v>
      </c>
      <c r="F309" s="47">
        <v>7</v>
      </c>
      <c r="G309" s="143">
        <v>21.338286</v>
      </c>
      <c r="H309" s="50">
        <f>+G309*(2.75/100)</f>
        <v>0.58680286500000001</v>
      </c>
      <c r="I309" s="148">
        <v>0</v>
      </c>
      <c r="J309" s="148">
        <f>(0*1000)/1000000</f>
        <v>0</v>
      </c>
      <c r="K309" s="50">
        <f>+G309*(11/100)</f>
        <v>2.34721146</v>
      </c>
      <c r="L309" s="51">
        <v>4.2610999999999999</v>
      </c>
      <c r="M309" s="148">
        <f>(0*1000)/1000000</f>
        <v>0</v>
      </c>
      <c r="N309" s="50">
        <f t="shared" si="36"/>
        <v>2.9340143250000001</v>
      </c>
      <c r="O309" s="50">
        <f t="shared" si="39"/>
        <v>4.2610999999999999</v>
      </c>
      <c r="P309" s="50">
        <f t="shared" si="40"/>
        <v>-1.3270856749999997</v>
      </c>
      <c r="Q309" s="111" t="s">
        <v>496</v>
      </c>
      <c r="R309" s="28" t="s">
        <v>114</v>
      </c>
      <c r="S309" s="7" t="s">
        <v>282</v>
      </c>
      <c r="T309" s="7" t="s">
        <v>310</v>
      </c>
      <c r="U309" s="7"/>
      <c r="V309" s="7"/>
      <c r="W309" s="7"/>
      <c r="X309" s="7"/>
      <c r="Y309" s="7"/>
      <c r="Z309" s="7"/>
      <c r="AA309" s="7"/>
      <c r="AB309" s="7"/>
      <c r="AC309" s="7"/>
    </row>
    <row r="310" spans="1:29" ht="363" customHeight="1" thickBot="1" x14ac:dyDescent="0.8">
      <c r="A310" s="20">
        <v>305</v>
      </c>
      <c r="B310" s="414" t="s">
        <v>658</v>
      </c>
      <c r="C310" s="414" t="s">
        <v>515</v>
      </c>
      <c r="D310" s="416">
        <v>150630971</v>
      </c>
      <c r="E310" s="20" t="s">
        <v>18</v>
      </c>
      <c r="F310" s="20">
        <v>4</v>
      </c>
      <c r="G310" s="23">
        <f>4004318.70672602/1000000</f>
        <v>4.0043187067260204</v>
      </c>
      <c r="H310" s="23">
        <f t="shared" ref="H310:H327" si="41">+G310*0.005</f>
        <v>2.0021593533630103E-2</v>
      </c>
      <c r="I310" s="23">
        <v>0</v>
      </c>
      <c r="J310" s="23">
        <v>0</v>
      </c>
      <c r="K310" s="23">
        <f t="shared" ref="K310:K327" si="42">+G310*(8.5/100)</f>
        <v>0.34036709007171179</v>
      </c>
      <c r="L310" s="45">
        <v>0</v>
      </c>
      <c r="M310" s="23">
        <v>0</v>
      </c>
      <c r="N310" s="23">
        <f t="shared" si="36"/>
        <v>0.36038868360534188</v>
      </c>
      <c r="O310" s="23">
        <f t="shared" si="39"/>
        <v>0</v>
      </c>
      <c r="P310" s="23">
        <f t="shared" si="40"/>
        <v>0.36038868360534188</v>
      </c>
      <c r="Q310" s="109" t="s">
        <v>40</v>
      </c>
      <c r="R310" s="26" t="s">
        <v>345</v>
      </c>
      <c r="S310" s="10" t="s">
        <v>344</v>
      </c>
    </row>
    <row r="311" spans="1:29" ht="408.95" customHeight="1" thickBot="1" x14ac:dyDescent="0.8">
      <c r="A311" s="20">
        <v>306</v>
      </c>
      <c r="B311" s="415"/>
      <c r="C311" s="415"/>
      <c r="D311" s="417"/>
      <c r="E311" s="20" t="s">
        <v>20</v>
      </c>
      <c r="F311" s="20">
        <v>2</v>
      </c>
      <c r="G311" s="21">
        <f>12177264.2605919/1000000</f>
        <v>12.177264260591899</v>
      </c>
      <c r="H311" s="21">
        <f t="shared" si="41"/>
        <v>6.0886321302959498E-2</v>
      </c>
      <c r="I311" s="21">
        <v>0</v>
      </c>
      <c r="J311" s="21">
        <v>0</v>
      </c>
      <c r="K311" s="21">
        <f t="shared" si="42"/>
        <v>1.0350674621503115</v>
      </c>
      <c r="L311" s="22">
        <v>0</v>
      </c>
      <c r="M311" s="21">
        <v>0</v>
      </c>
      <c r="N311" s="21">
        <f t="shared" si="36"/>
        <v>1.0959537834532711</v>
      </c>
      <c r="O311" s="21">
        <f t="shared" si="39"/>
        <v>0</v>
      </c>
      <c r="P311" s="21">
        <f t="shared" si="40"/>
        <v>1.0959537834532711</v>
      </c>
      <c r="Q311" s="109" t="s">
        <v>30</v>
      </c>
      <c r="R311" s="26" t="s">
        <v>444</v>
      </c>
      <c r="S311" s="10" t="s">
        <v>344</v>
      </c>
    </row>
    <row r="312" spans="1:29" ht="317.10000000000002" customHeight="1" thickBot="1" x14ac:dyDescent="0.8">
      <c r="A312" s="20">
        <v>307</v>
      </c>
      <c r="B312" s="414" t="s">
        <v>659</v>
      </c>
      <c r="C312" s="414" t="s">
        <v>511</v>
      </c>
      <c r="D312" s="416">
        <v>430019004290</v>
      </c>
      <c r="E312" s="20" t="s">
        <v>18</v>
      </c>
      <c r="F312" s="20">
        <v>2.5</v>
      </c>
      <c r="G312" s="23">
        <v>9.3167679999999997</v>
      </c>
      <c r="H312" s="23">
        <f>+G312*0.005</f>
        <v>4.6583840000000001E-2</v>
      </c>
      <c r="I312" s="23">
        <v>0</v>
      </c>
      <c r="J312" s="23">
        <v>0</v>
      </c>
      <c r="K312" s="23">
        <f>+G312*(8.5/100)</f>
        <v>0.79192528000000006</v>
      </c>
      <c r="L312" s="45">
        <v>0</v>
      </c>
      <c r="M312" s="23">
        <v>0</v>
      </c>
      <c r="N312" s="23">
        <f>+H312+K312</f>
        <v>0.83850912000000011</v>
      </c>
      <c r="O312" s="23">
        <f>+((I312+J312)+(L312+M312))</f>
        <v>0</v>
      </c>
      <c r="P312" s="23">
        <f>+N312-O312</f>
        <v>0.83850912000000011</v>
      </c>
      <c r="Q312" s="109" t="s">
        <v>19</v>
      </c>
      <c r="R312" s="26" t="s">
        <v>346</v>
      </c>
      <c r="S312" s="10" t="s">
        <v>344</v>
      </c>
    </row>
    <row r="313" spans="1:29" ht="317.10000000000002" customHeight="1" thickBot="1" x14ac:dyDescent="0.8">
      <c r="A313" s="20"/>
      <c r="B313" s="415"/>
      <c r="C313" s="415"/>
      <c r="D313" s="417"/>
      <c r="E313" s="20" t="s">
        <v>20</v>
      </c>
      <c r="F313" s="20">
        <v>2.8</v>
      </c>
      <c r="G313" s="21">
        <v>17.567267000000001</v>
      </c>
      <c r="H313" s="21">
        <f t="shared" si="41"/>
        <v>8.7836335000000001E-2</v>
      </c>
      <c r="I313" s="21">
        <v>0</v>
      </c>
      <c r="J313" s="21">
        <f>(5+15+20+20+15+7)*1000/1000000</f>
        <v>8.2000000000000003E-2</v>
      </c>
      <c r="K313" s="21">
        <f t="shared" si="42"/>
        <v>1.4932176950000002</v>
      </c>
      <c r="L313" s="22">
        <v>0</v>
      </c>
      <c r="M313" s="21">
        <f>(97+300+200+400+306+103)*1000/1000000</f>
        <v>1.4059999999999999</v>
      </c>
      <c r="N313" s="21">
        <f t="shared" si="36"/>
        <v>1.5810540300000002</v>
      </c>
      <c r="O313" s="21">
        <f t="shared" si="39"/>
        <v>1.488</v>
      </c>
      <c r="P313" s="21">
        <f t="shared" si="40"/>
        <v>9.3054030000000232E-2</v>
      </c>
      <c r="Q313" s="109" t="s">
        <v>284</v>
      </c>
      <c r="R313" s="26" t="s">
        <v>409</v>
      </c>
      <c r="S313" s="10" t="s">
        <v>282</v>
      </c>
      <c r="T313" s="10" t="s">
        <v>283</v>
      </c>
    </row>
    <row r="314" spans="1:29" ht="317.10000000000002" customHeight="1" thickBot="1" x14ac:dyDescent="0.8">
      <c r="A314" s="20">
        <v>309</v>
      </c>
      <c r="B314" s="19" t="s">
        <v>660</v>
      </c>
      <c r="C314" s="19" t="s">
        <v>511</v>
      </c>
      <c r="D314" s="176">
        <v>178519036650</v>
      </c>
      <c r="E314" s="20" t="s">
        <v>20</v>
      </c>
      <c r="F314" s="20">
        <v>7</v>
      </c>
      <c r="G314" s="21">
        <v>1.8184899999999999</v>
      </c>
      <c r="H314" s="21">
        <f t="shared" si="41"/>
        <v>9.0924500000000002E-3</v>
      </c>
      <c r="I314" s="21">
        <v>7.6799999999999993E-2</v>
      </c>
      <c r="J314" s="21">
        <v>0</v>
      </c>
      <c r="K314" s="21">
        <f t="shared" si="42"/>
        <v>0.15457165</v>
      </c>
      <c r="L314" s="22">
        <v>0.29830000000000001</v>
      </c>
      <c r="M314" s="21">
        <v>0</v>
      </c>
      <c r="N314" s="21">
        <f t="shared" si="36"/>
        <v>0.16366410000000001</v>
      </c>
      <c r="O314" s="21">
        <f t="shared" si="39"/>
        <v>0.37509999999999999</v>
      </c>
      <c r="P314" s="21">
        <f t="shared" si="40"/>
        <v>-0.21143589999999998</v>
      </c>
      <c r="Q314" s="109" t="s">
        <v>284</v>
      </c>
      <c r="R314" s="26" t="s">
        <v>386</v>
      </c>
      <c r="S314" s="10" t="s">
        <v>282</v>
      </c>
      <c r="T314" s="10" t="s">
        <v>310</v>
      </c>
    </row>
    <row r="315" spans="1:29" ht="317.10000000000002" customHeight="1" thickBot="1" x14ac:dyDescent="0.8">
      <c r="A315" s="20">
        <v>310</v>
      </c>
      <c r="B315" s="19" t="s">
        <v>661</v>
      </c>
      <c r="C315" s="19" t="s">
        <v>511</v>
      </c>
      <c r="D315" s="176">
        <v>57559010342</v>
      </c>
      <c r="E315" s="20" t="s">
        <v>20</v>
      </c>
      <c r="F315" s="20">
        <v>1</v>
      </c>
      <c r="G315" s="21">
        <v>0.85560000000000003</v>
      </c>
      <c r="H315" s="21">
        <f t="shared" si="41"/>
        <v>4.2780000000000006E-3</v>
      </c>
      <c r="I315" s="21">
        <v>0</v>
      </c>
      <c r="J315" s="21">
        <v>5.0000000000000001E-3</v>
      </c>
      <c r="K315" s="21">
        <f t="shared" si="42"/>
        <v>7.2726000000000013E-2</v>
      </c>
      <c r="L315" s="22">
        <v>0</v>
      </c>
      <c r="M315" s="21">
        <v>7.2999999999999995E-2</v>
      </c>
      <c r="N315" s="21">
        <f t="shared" si="36"/>
        <v>7.7004000000000017E-2</v>
      </c>
      <c r="O315" s="21">
        <f t="shared" si="39"/>
        <v>7.8E-2</v>
      </c>
      <c r="P315" s="21">
        <f t="shared" si="40"/>
        <v>-9.9599999999998301E-4</v>
      </c>
      <c r="Q315" s="109" t="s">
        <v>284</v>
      </c>
      <c r="R315" s="26" t="s">
        <v>362</v>
      </c>
      <c r="S315" s="10" t="s">
        <v>282</v>
      </c>
      <c r="T315" s="10" t="s">
        <v>310</v>
      </c>
    </row>
    <row r="316" spans="1:29" ht="317.10000000000002" customHeight="1" thickBot="1" x14ac:dyDescent="0.8">
      <c r="A316" s="20">
        <v>311</v>
      </c>
      <c r="B316" s="19" t="s">
        <v>662</v>
      </c>
      <c r="C316" s="19" t="s">
        <v>648</v>
      </c>
      <c r="D316" s="176">
        <v>900000784502</v>
      </c>
      <c r="E316" s="20" t="s">
        <v>20</v>
      </c>
      <c r="F316" s="20">
        <v>4.8230000000000004</v>
      </c>
      <c r="G316" s="21">
        <v>8.552225</v>
      </c>
      <c r="H316" s="21">
        <f t="shared" si="41"/>
        <v>4.2761125000000004E-2</v>
      </c>
      <c r="I316" s="21">
        <v>0</v>
      </c>
      <c r="J316" s="21">
        <f>(43*1000/1000000)</f>
        <v>4.2999999999999997E-2</v>
      </c>
      <c r="K316" s="21">
        <f t="shared" si="42"/>
        <v>0.72693912500000002</v>
      </c>
      <c r="L316" s="22">
        <v>0</v>
      </c>
      <c r="M316" s="21">
        <f>(730*1000/1000000)</f>
        <v>0.73</v>
      </c>
      <c r="N316" s="21">
        <f t="shared" si="36"/>
        <v>0.76970024999999997</v>
      </c>
      <c r="O316" s="21">
        <f t="shared" si="39"/>
        <v>0.77300000000000002</v>
      </c>
      <c r="P316" s="21">
        <f t="shared" si="40"/>
        <v>-3.2997500000000457E-3</v>
      </c>
      <c r="Q316" s="109" t="s">
        <v>372</v>
      </c>
      <c r="R316" s="26" t="s">
        <v>442</v>
      </c>
      <c r="S316" s="10" t="s">
        <v>282</v>
      </c>
      <c r="T316" s="10" t="s">
        <v>310</v>
      </c>
    </row>
    <row r="317" spans="1:29" ht="317.10000000000002" customHeight="1" thickBot="1" x14ac:dyDescent="0.8">
      <c r="A317" s="20">
        <v>312</v>
      </c>
      <c r="B317" s="19" t="s">
        <v>663</v>
      </c>
      <c r="C317" s="19" t="s">
        <v>648</v>
      </c>
      <c r="D317" s="176">
        <v>900000784521</v>
      </c>
      <c r="E317" s="20" t="s">
        <v>20</v>
      </c>
      <c r="F317" s="20">
        <v>4.8380000000000001</v>
      </c>
      <c r="G317" s="21">
        <v>9.5890179999999994</v>
      </c>
      <c r="H317" s="21">
        <f t="shared" si="41"/>
        <v>4.7945089999999996E-2</v>
      </c>
      <c r="I317" s="21">
        <v>0</v>
      </c>
      <c r="J317" s="21">
        <f>(48*1000/1000000)</f>
        <v>4.8000000000000001E-2</v>
      </c>
      <c r="K317" s="21">
        <f t="shared" si="42"/>
        <v>0.81506652999999996</v>
      </c>
      <c r="L317" s="22">
        <v>0</v>
      </c>
      <c r="M317" s="21">
        <f>(816*1000/1000000)</f>
        <v>0.81599999999999995</v>
      </c>
      <c r="N317" s="21">
        <f t="shared" si="36"/>
        <v>0.86301161999999998</v>
      </c>
      <c r="O317" s="21">
        <f t="shared" si="39"/>
        <v>0.86399999999999999</v>
      </c>
      <c r="P317" s="21">
        <f t="shared" si="40"/>
        <v>-9.8838000000001092E-4</v>
      </c>
      <c r="Q317" s="109" t="s">
        <v>372</v>
      </c>
      <c r="R317" s="26" t="s">
        <v>442</v>
      </c>
      <c r="S317" s="10" t="s">
        <v>282</v>
      </c>
      <c r="T317" s="10" t="s">
        <v>310</v>
      </c>
    </row>
    <row r="318" spans="1:29" ht="317.10000000000002" customHeight="1" thickBot="1" x14ac:dyDescent="0.8">
      <c r="A318" s="20">
        <v>313</v>
      </c>
      <c r="B318" s="19" t="s">
        <v>664</v>
      </c>
      <c r="C318" s="19" t="s">
        <v>648</v>
      </c>
      <c r="D318" s="176">
        <v>900000784496</v>
      </c>
      <c r="E318" s="20" t="s">
        <v>20</v>
      </c>
      <c r="F318" s="20">
        <v>3.45</v>
      </c>
      <c r="G318" s="21">
        <v>3.8264019999999999</v>
      </c>
      <c r="H318" s="21">
        <f t="shared" si="41"/>
        <v>1.9132010000000001E-2</v>
      </c>
      <c r="I318" s="21">
        <v>0</v>
      </c>
      <c r="J318" s="21">
        <f>(20*1000/1000000)</f>
        <v>0.02</v>
      </c>
      <c r="K318" s="21">
        <f t="shared" si="42"/>
        <v>0.32524417</v>
      </c>
      <c r="L318" s="22">
        <v>0</v>
      </c>
      <c r="M318" s="21">
        <f>(326*1000/1000000)</f>
        <v>0.32600000000000001</v>
      </c>
      <c r="N318" s="21">
        <f t="shared" si="36"/>
        <v>0.34437617999999998</v>
      </c>
      <c r="O318" s="21">
        <f t="shared" si="39"/>
        <v>0.34600000000000003</v>
      </c>
      <c r="P318" s="21">
        <f t="shared" si="40"/>
        <v>-1.6238200000000536E-3</v>
      </c>
      <c r="Q318" s="109" t="s">
        <v>372</v>
      </c>
      <c r="R318" s="26" t="s">
        <v>442</v>
      </c>
      <c r="S318" s="10" t="s">
        <v>282</v>
      </c>
      <c r="T318" s="10" t="s">
        <v>310</v>
      </c>
    </row>
    <row r="319" spans="1:29" ht="317.10000000000002" customHeight="1" thickBot="1" x14ac:dyDescent="0.8">
      <c r="A319" s="20">
        <v>314</v>
      </c>
      <c r="B319" s="19" t="s">
        <v>665</v>
      </c>
      <c r="C319" s="19" t="s">
        <v>648</v>
      </c>
      <c r="D319" s="176">
        <v>900000784514</v>
      </c>
      <c r="E319" s="20" t="s">
        <v>20</v>
      </c>
      <c r="F319" s="20">
        <v>3.3029999999999999</v>
      </c>
      <c r="G319" s="21">
        <v>3.8249919999999999</v>
      </c>
      <c r="H319" s="21">
        <f t="shared" si="41"/>
        <v>1.912496E-2</v>
      </c>
      <c r="I319" s="21">
        <v>0</v>
      </c>
      <c r="J319" s="21">
        <f>(20*1000/1000000)</f>
        <v>0.02</v>
      </c>
      <c r="K319" s="21">
        <f t="shared" si="42"/>
        <v>0.32512432000000002</v>
      </c>
      <c r="L319" s="22">
        <v>0</v>
      </c>
      <c r="M319" s="21">
        <f>(326*1000/1000000)</f>
        <v>0.32600000000000001</v>
      </c>
      <c r="N319" s="21">
        <f t="shared" si="36"/>
        <v>0.34424928000000005</v>
      </c>
      <c r="O319" s="21">
        <f t="shared" si="39"/>
        <v>0.34600000000000003</v>
      </c>
      <c r="P319" s="21">
        <f t="shared" si="40"/>
        <v>-1.7507199999999834E-3</v>
      </c>
      <c r="Q319" s="109" t="s">
        <v>46</v>
      </c>
      <c r="R319" s="26" t="s">
        <v>115</v>
      </c>
      <c r="S319" s="10" t="s">
        <v>282</v>
      </c>
      <c r="T319" s="10" t="s">
        <v>310</v>
      </c>
    </row>
    <row r="320" spans="1:29" ht="317.10000000000002" customHeight="1" thickBot="1" x14ac:dyDescent="0.8">
      <c r="A320" s="20">
        <v>315</v>
      </c>
      <c r="B320" s="19" t="s">
        <v>666</v>
      </c>
      <c r="C320" s="19" t="s">
        <v>648</v>
      </c>
      <c r="D320" s="176">
        <v>900000784508</v>
      </c>
      <c r="E320" s="20" t="s">
        <v>20</v>
      </c>
      <c r="F320" s="20">
        <v>3.26</v>
      </c>
      <c r="G320" s="21">
        <v>3.8262879999999999</v>
      </c>
      <c r="H320" s="21">
        <f t="shared" si="41"/>
        <v>1.913144E-2</v>
      </c>
      <c r="I320" s="21">
        <v>0</v>
      </c>
      <c r="J320" s="21">
        <f>(20*1000/1000000)</f>
        <v>0.02</v>
      </c>
      <c r="K320" s="21">
        <f t="shared" si="42"/>
        <v>0.32523447999999999</v>
      </c>
      <c r="L320" s="22">
        <v>0</v>
      </c>
      <c r="M320" s="21">
        <f>(326*1000/1000000)</f>
        <v>0.32600000000000001</v>
      </c>
      <c r="N320" s="21">
        <f t="shared" si="36"/>
        <v>0.34436591999999999</v>
      </c>
      <c r="O320" s="21">
        <f t="shared" si="39"/>
        <v>0.34600000000000003</v>
      </c>
      <c r="P320" s="21">
        <f t="shared" si="40"/>
        <v>-1.6340800000000377E-3</v>
      </c>
      <c r="Q320" s="109" t="s">
        <v>46</v>
      </c>
      <c r="R320" s="26" t="s">
        <v>115</v>
      </c>
      <c r="S320" s="10" t="s">
        <v>282</v>
      </c>
      <c r="T320" s="10" t="s">
        <v>310</v>
      </c>
    </row>
    <row r="321" spans="1:20" ht="317.10000000000002" customHeight="1" thickBot="1" x14ac:dyDescent="0.8">
      <c r="A321" s="20">
        <v>316</v>
      </c>
      <c r="B321" s="19" t="s">
        <v>667</v>
      </c>
      <c r="C321" s="19" t="s">
        <v>648</v>
      </c>
      <c r="D321" s="176">
        <v>900000784491</v>
      </c>
      <c r="E321" s="20" t="s">
        <v>20</v>
      </c>
      <c r="F321" s="20">
        <v>3.8170000000000002</v>
      </c>
      <c r="G321" s="21">
        <v>3.826238</v>
      </c>
      <c r="H321" s="21">
        <f t="shared" si="41"/>
        <v>1.9131189999999999E-2</v>
      </c>
      <c r="I321" s="21">
        <v>0</v>
      </c>
      <c r="J321" s="21">
        <f>(20*1000/1000000)</f>
        <v>0.02</v>
      </c>
      <c r="K321" s="21">
        <f t="shared" si="42"/>
        <v>0.32523023000000001</v>
      </c>
      <c r="L321" s="22">
        <v>0</v>
      </c>
      <c r="M321" s="21">
        <f>(326*1000/1000000)</f>
        <v>0.32600000000000001</v>
      </c>
      <c r="N321" s="21">
        <f t="shared" si="36"/>
        <v>0.34436142000000003</v>
      </c>
      <c r="O321" s="21">
        <f t="shared" si="39"/>
        <v>0.34600000000000003</v>
      </c>
      <c r="P321" s="21">
        <f t="shared" si="40"/>
        <v>-1.6385800000000006E-3</v>
      </c>
      <c r="Q321" s="109" t="s">
        <v>46</v>
      </c>
      <c r="R321" s="26" t="s">
        <v>115</v>
      </c>
      <c r="S321" s="10" t="s">
        <v>282</v>
      </c>
      <c r="T321" s="10" t="s">
        <v>310</v>
      </c>
    </row>
    <row r="322" spans="1:20" ht="317.10000000000002" customHeight="1" thickBot="1" x14ac:dyDescent="0.8">
      <c r="A322" s="20">
        <v>317</v>
      </c>
      <c r="B322" s="19" t="s">
        <v>668</v>
      </c>
      <c r="C322" s="19" t="s">
        <v>511</v>
      </c>
      <c r="D322" s="176">
        <v>190569006612</v>
      </c>
      <c r="E322" s="20" t="s">
        <v>20</v>
      </c>
      <c r="F322" s="20">
        <v>1.5</v>
      </c>
      <c r="G322" s="21">
        <v>3.8181189999999998</v>
      </c>
      <c r="H322" s="21">
        <f t="shared" si="41"/>
        <v>1.9090594999999998E-2</v>
      </c>
      <c r="I322" s="21">
        <v>0</v>
      </c>
      <c r="J322" s="21">
        <f>((16)*1000)/1000000</f>
        <v>1.6E-2</v>
      </c>
      <c r="K322" s="21">
        <f t="shared" si="42"/>
        <v>0.32454011500000002</v>
      </c>
      <c r="L322" s="22">
        <v>0</v>
      </c>
      <c r="M322" s="21">
        <f>((273)*1000)/1000000</f>
        <v>0.27300000000000002</v>
      </c>
      <c r="N322" s="21">
        <f t="shared" si="36"/>
        <v>0.34363071000000001</v>
      </c>
      <c r="O322" s="21">
        <f t="shared" si="39"/>
        <v>0.28900000000000003</v>
      </c>
      <c r="P322" s="21">
        <f t="shared" si="40"/>
        <v>5.4630709999999971E-2</v>
      </c>
      <c r="Q322" s="109" t="s">
        <v>284</v>
      </c>
      <c r="R322" s="26" t="s">
        <v>380</v>
      </c>
      <c r="S322" s="10" t="s">
        <v>282</v>
      </c>
      <c r="T322" s="10" t="s">
        <v>283</v>
      </c>
    </row>
    <row r="323" spans="1:20" ht="317.10000000000002" customHeight="1" thickBot="1" x14ac:dyDescent="0.8">
      <c r="A323" s="20">
        <v>318</v>
      </c>
      <c r="B323" s="19" t="s">
        <v>669</v>
      </c>
      <c r="C323" s="19" t="s">
        <v>511</v>
      </c>
      <c r="D323" s="176">
        <v>190569021160</v>
      </c>
      <c r="E323" s="20" t="s">
        <v>20</v>
      </c>
      <c r="F323" s="20">
        <v>1.4</v>
      </c>
      <c r="G323" s="21">
        <v>2.2490169999999998</v>
      </c>
      <c r="H323" s="21">
        <f t="shared" si="41"/>
        <v>1.1245085E-2</v>
      </c>
      <c r="I323" s="21">
        <v>0</v>
      </c>
      <c r="J323" s="21">
        <f>((8)*1000)/1000000</f>
        <v>8.0000000000000002E-3</v>
      </c>
      <c r="K323" s="21">
        <f t="shared" si="42"/>
        <v>0.19116644499999999</v>
      </c>
      <c r="L323" s="22">
        <v>0</v>
      </c>
      <c r="M323" s="21">
        <f>((143)*1000)/1000000</f>
        <v>0.14299999999999999</v>
      </c>
      <c r="N323" s="21">
        <f t="shared" si="36"/>
        <v>0.20241152999999998</v>
      </c>
      <c r="O323" s="21">
        <f t="shared" si="39"/>
        <v>0.151</v>
      </c>
      <c r="P323" s="21">
        <f t="shared" si="40"/>
        <v>5.1411529999999983E-2</v>
      </c>
      <c r="Q323" s="109" t="s">
        <v>284</v>
      </c>
      <c r="R323" s="26" t="s">
        <v>381</v>
      </c>
      <c r="S323" s="10" t="s">
        <v>282</v>
      </c>
      <c r="T323" s="10" t="s">
        <v>283</v>
      </c>
    </row>
    <row r="324" spans="1:20" ht="317.10000000000002" customHeight="1" thickBot="1" x14ac:dyDescent="0.8">
      <c r="A324" s="20">
        <v>319</v>
      </c>
      <c r="B324" s="19" t="s">
        <v>670</v>
      </c>
      <c r="C324" s="19" t="s">
        <v>511</v>
      </c>
      <c r="D324" s="176">
        <v>420819008800</v>
      </c>
      <c r="E324" s="20" t="s">
        <v>20</v>
      </c>
      <c r="F324" s="20">
        <v>1.2</v>
      </c>
      <c r="G324" s="21">
        <v>1.7226239999999999</v>
      </c>
      <c r="H324" s="21">
        <f t="shared" si="41"/>
        <v>8.6131200000000002E-3</v>
      </c>
      <c r="I324" s="21">
        <v>0</v>
      </c>
      <c r="J324" s="21">
        <v>0</v>
      </c>
      <c r="K324" s="21">
        <f t="shared" si="42"/>
        <v>0.14642304</v>
      </c>
      <c r="L324" s="22">
        <v>0</v>
      </c>
      <c r="M324" s="21">
        <v>0</v>
      </c>
      <c r="N324" s="21">
        <f t="shared" si="36"/>
        <v>0.15503616000000001</v>
      </c>
      <c r="O324" s="21">
        <f t="shared" si="39"/>
        <v>0</v>
      </c>
      <c r="P324" s="21">
        <f t="shared" si="40"/>
        <v>0.15503616000000001</v>
      </c>
      <c r="Q324" s="109" t="s">
        <v>19</v>
      </c>
      <c r="R324" s="26" t="s">
        <v>447</v>
      </c>
      <c r="S324" s="10" t="s">
        <v>344</v>
      </c>
    </row>
    <row r="325" spans="1:20" ht="317.10000000000002" customHeight="1" thickBot="1" x14ac:dyDescent="0.8">
      <c r="A325" s="20">
        <v>320</v>
      </c>
      <c r="B325" s="19" t="s">
        <v>671</v>
      </c>
      <c r="C325" s="19" t="s">
        <v>511</v>
      </c>
      <c r="D325" s="176">
        <v>262079206151</v>
      </c>
      <c r="E325" s="20" t="s">
        <v>20</v>
      </c>
      <c r="F325" s="20">
        <v>4.4000000000000004</v>
      </c>
      <c r="G325" s="21">
        <v>29.537761</v>
      </c>
      <c r="H325" s="21">
        <f t="shared" si="41"/>
        <v>0.14768880500000001</v>
      </c>
      <c r="I325" s="21">
        <v>0</v>
      </c>
      <c r="J325" s="21">
        <f>((27+103+1)*1000)/1000000</f>
        <v>0.13100000000000001</v>
      </c>
      <c r="K325" s="21">
        <f t="shared" si="42"/>
        <v>2.5107096850000001</v>
      </c>
      <c r="L325" s="22">
        <v>0</v>
      </c>
      <c r="M325" s="21">
        <f>((465+1876)*1000)/1000000</f>
        <v>2.3410000000000002</v>
      </c>
      <c r="N325" s="21">
        <f t="shared" si="36"/>
        <v>2.6583984900000002</v>
      </c>
      <c r="O325" s="21">
        <f t="shared" si="39"/>
        <v>2.4720000000000004</v>
      </c>
      <c r="P325" s="21">
        <f t="shared" si="40"/>
        <v>0.18639848999999975</v>
      </c>
      <c r="Q325" s="109" t="s">
        <v>284</v>
      </c>
      <c r="R325" s="26" t="s">
        <v>399</v>
      </c>
      <c r="S325" s="10" t="s">
        <v>282</v>
      </c>
      <c r="T325" s="10" t="s">
        <v>283</v>
      </c>
    </row>
    <row r="326" spans="1:20" ht="399" customHeight="1" thickBot="1" x14ac:dyDescent="0.8">
      <c r="A326" s="20">
        <v>321</v>
      </c>
      <c r="B326" s="19" t="s">
        <v>672</v>
      </c>
      <c r="C326" s="19" t="s">
        <v>648</v>
      </c>
      <c r="D326" s="176">
        <v>900000041961</v>
      </c>
      <c r="E326" s="20" t="s">
        <v>20</v>
      </c>
      <c r="F326" s="20">
        <v>3</v>
      </c>
      <c r="G326" s="21">
        <v>1.44</v>
      </c>
      <c r="H326" s="21">
        <f t="shared" si="41"/>
        <v>7.1999999999999998E-3</v>
      </c>
      <c r="I326" s="21">
        <v>0</v>
      </c>
      <c r="J326" s="21">
        <v>0</v>
      </c>
      <c r="K326" s="21">
        <f t="shared" si="42"/>
        <v>0.12240000000000001</v>
      </c>
      <c r="L326" s="22">
        <v>0</v>
      </c>
      <c r="M326" s="21">
        <v>0</v>
      </c>
      <c r="N326" s="21">
        <f t="shared" si="36"/>
        <v>0.12960000000000002</v>
      </c>
      <c r="O326" s="21">
        <f t="shared" si="39"/>
        <v>0</v>
      </c>
      <c r="P326" s="21">
        <f t="shared" si="40"/>
        <v>0.12960000000000002</v>
      </c>
      <c r="Q326" s="109" t="s">
        <v>46</v>
      </c>
      <c r="R326" s="26" t="s">
        <v>445</v>
      </c>
      <c r="S326" s="10" t="s">
        <v>344</v>
      </c>
    </row>
    <row r="327" spans="1:20" ht="317.10000000000002" customHeight="1" thickBot="1" x14ac:dyDescent="0.8">
      <c r="A327" s="394">
        <v>322</v>
      </c>
      <c r="B327" s="414" t="s">
        <v>673</v>
      </c>
      <c r="C327" s="414" t="s">
        <v>511</v>
      </c>
      <c r="D327" s="416">
        <v>30879025210</v>
      </c>
      <c r="E327" s="20" t="s">
        <v>20</v>
      </c>
      <c r="F327" s="20">
        <v>3</v>
      </c>
      <c r="G327" s="21">
        <v>2.3409200000000001</v>
      </c>
      <c r="H327" s="21">
        <f t="shared" si="41"/>
        <v>1.1704600000000001E-2</v>
      </c>
      <c r="I327" s="21">
        <v>0</v>
      </c>
      <c r="J327" s="21">
        <f>(9+3+1)*1000/1000000</f>
        <v>1.2999999999999999E-2</v>
      </c>
      <c r="K327" s="21">
        <f t="shared" si="42"/>
        <v>0.19897820000000002</v>
      </c>
      <c r="L327" s="22">
        <v>0</v>
      </c>
      <c r="M327" s="21">
        <f>(169+21+10)*1000/1000000</f>
        <v>0.2</v>
      </c>
      <c r="N327" s="21">
        <f t="shared" si="36"/>
        <v>0.21068280000000003</v>
      </c>
      <c r="O327" s="21">
        <f t="shared" si="39"/>
        <v>0.21300000000000002</v>
      </c>
      <c r="P327" s="21">
        <f t="shared" si="40"/>
        <v>-2.3171999999999915E-3</v>
      </c>
      <c r="Q327" s="109" t="s">
        <v>19</v>
      </c>
      <c r="R327" s="26" t="s">
        <v>64</v>
      </c>
      <c r="S327" s="10" t="s">
        <v>282</v>
      </c>
      <c r="T327" s="10" t="s">
        <v>310</v>
      </c>
    </row>
    <row r="328" spans="1:20" ht="317.10000000000002" customHeight="1" thickBot="1" x14ac:dyDescent="0.8">
      <c r="A328" s="396"/>
      <c r="B328" s="415"/>
      <c r="C328" s="415"/>
      <c r="D328" s="417"/>
      <c r="E328" s="20" t="s">
        <v>21</v>
      </c>
      <c r="F328" s="20">
        <v>5</v>
      </c>
      <c r="G328" s="23">
        <v>0</v>
      </c>
      <c r="H328" s="23">
        <f>+G328*0.01</f>
        <v>0</v>
      </c>
      <c r="I328" s="23">
        <v>0</v>
      </c>
      <c r="J328" s="23">
        <v>0</v>
      </c>
      <c r="K328" s="23">
        <f>+G328*(10/100)</f>
        <v>0</v>
      </c>
      <c r="L328" s="45">
        <v>0</v>
      </c>
      <c r="M328" s="23">
        <v>0</v>
      </c>
      <c r="N328" s="23">
        <f t="shared" ref="N328:N392" si="43">+H328+K328</f>
        <v>0</v>
      </c>
      <c r="O328" s="23">
        <f t="shared" si="39"/>
        <v>0</v>
      </c>
      <c r="P328" s="23">
        <f t="shared" si="40"/>
        <v>0</v>
      </c>
      <c r="Q328" s="109" t="s">
        <v>19</v>
      </c>
      <c r="R328" s="26" t="s">
        <v>489</v>
      </c>
      <c r="S328" s="10" t="s">
        <v>344</v>
      </c>
    </row>
    <row r="329" spans="1:20" ht="317.10000000000002" customHeight="1" thickBot="1" x14ac:dyDescent="0.8">
      <c r="A329" s="20">
        <v>324</v>
      </c>
      <c r="B329" s="414" t="s">
        <v>116</v>
      </c>
      <c r="C329" s="414" t="s">
        <v>511</v>
      </c>
      <c r="D329" s="416">
        <v>184819037730</v>
      </c>
      <c r="E329" s="20" t="s">
        <v>20</v>
      </c>
      <c r="F329" s="20">
        <v>4.8476840000000001</v>
      </c>
      <c r="G329" s="21">
        <v>5.0807500000000001</v>
      </c>
      <c r="H329" s="21">
        <f>+G329*0.005</f>
        <v>2.5403750000000003E-2</v>
      </c>
      <c r="I329" s="21">
        <v>0</v>
      </c>
      <c r="J329" s="21">
        <v>2.7E-2</v>
      </c>
      <c r="K329" s="21">
        <f>+G329*(8.5/100)</f>
        <v>0.43186375000000005</v>
      </c>
      <c r="L329" s="22">
        <v>0</v>
      </c>
      <c r="M329" s="21">
        <v>0.433</v>
      </c>
      <c r="N329" s="21">
        <f>+H329+K329</f>
        <v>0.45726750000000005</v>
      </c>
      <c r="O329" s="21">
        <f>+((I329+J329)+(L329+M329))</f>
        <v>0.46</v>
      </c>
      <c r="P329" s="21">
        <f>+N329-O329</f>
        <v>-2.7324999999999711E-3</v>
      </c>
      <c r="Q329" s="109" t="s">
        <v>284</v>
      </c>
      <c r="R329" s="26" t="s">
        <v>352</v>
      </c>
      <c r="S329" s="10" t="s">
        <v>282</v>
      </c>
      <c r="T329" s="10" t="s">
        <v>310</v>
      </c>
    </row>
    <row r="330" spans="1:20" ht="317.10000000000002" customHeight="1" thickBot="1" x14ac:dyDescent="0.8">
      <c r="A330" s="20"/>
      <c r="B330" s="415"/>
      <c r="C330" s="415"/>
      <c r="D330" s="417"/>
      <c r="E330" s="20" t="s">
        <v>21</v>
      </c>
      <c r="F330" s="20">
        <v>5</v>
      </c>
      <c r="G330" s="20">
        <v>9.9005299999999998</v>
      </c>
      <c r="H330" s="23">
        <f>+G330*0.01</f>
        <v>9.9005300000000004E-2</v>
      </c>
      <c r="I330" s="23">
        <v>0</v>
      </c>
      <c r="J330" s="23">
        <v>0</v>
      </c>
      <c r="K330" s="23">
        <f>+G330*(10/100)</f>
        <v>0.99005300000000007</v>
      </c>
      <c r="L330" s="45">
        <v>0</v>
      </c>
      <c r="M330" s="23">
        <v>0</v>
      </c>
      <c r="N330" s="23">
        <f t="shared" si="43"/>
        <v>1.0890583</v>
      </c>
      <c r="O330" s="23">
        <f t="shared" si="39"/>
        <v>0</v>
      </c>
      <c r="P330" s="23">
        <f t="shared" si="40"/>
        <v>1.0890583</v>
      </c>
      <c r="Q330" s="109" t="s">
        <v>19</v>
      </c>
      <c r="R330" s="26" t="s">
        <v>489</v>
      </c>
      <c r="S330" s="10" t="s">
        <v>344</v>
      </c>
    </row>
    <row r="331" spans="1:20" ht="317.10000000000002" customHeight="1" thickBot="1" x14ac:dyDescent="0.8">
      <c r="A331" s="20">
        <v>326</v>
      </c>
      <c r="B331" s="19" t="s">
        <v>674</v>
      </c>
      <c r="C331" s="19" t="s">
        <v>515</v>
      </c>
      <c r="D331" s="176">
        <v>150820616</v>
      </c>
      <c r="E331" s="20" t="s">
        <v>20</v>
      </c>
      <c r="F331" s="20">
        <v>1.1000000000000001</v>
      </c>
      <c r="G331" s="21">
        <f>4813744.8/1000000</f>
        <v>4.8137447999999994</v>
      </c>
      <c r="H331" s="21">
        <f t="shared" ref="H331:H338" si="44">+G331*0.005</f>
        <v>2.4068723999999996E-2</v>
      </c>
      <c r="I331" s="21">
        <v>0</v>
      </c>
      <c r="J331" s="21">
        <v>0</v>
      </c>
      <c r="K331" s="21">
        <f t="shared" ref="K331:K338" si="45">+G331*(8.5/100)</f>
        <v>0.40916830799999998</v>
      </c>
      <c r="L331" s="22">
        <v>0</v>
      </c>
      <c r="M331" s="21">
        <v>0</v>
      </c>
      <c r="N331" s="21">
        <f t="shared" si="43"/>
        <v>0.43323703199999997</v>
      </c>
      <c r="O331" s="21">
        <f t="shared" si="39"/>
        <v>0</v>
      </c>
      <c r="P331" s="21">
        <f t="shared" si="40"/>
        <v>0.43323703199999997</v>
      </c>
      <c r="Q331" s="109" t="s">
        <v>30</v>
      </c>
      <c r="R331" s="26" t="s">
        <v>31</v>
      </c>
      <c r="S331" s="10" t="s">
        <v>344</v>
      </c>
    </row>
    <row r="332" spans="1:20" ht="317.10000000000002" customHeight="1" thickBot="1" x14ac:dyDescent="0.8">
      <c r="A332" s="20">
        <v>327</v>
      </c>
      <c r="B332" s="414" t="s">
        <v>675</v>
      </c>
      <c r="C332" s="414" t="s">
        <v>511</v>
      </c>
      <c r="D332" s="416">
        <v>23449019431</v>
      </c>
      <c r="E332" s="20" t="s">
        <v>18</v>
      </c>
      <c r="F332" s="20">
        <v>1.2</v>
      </c>
      <c r="G332" s="23">
        <v>8.2116410000000002</v>
      </c>
      <c r="H332" s="23">
        <f t="shared" si="44"/>
        <v>4.1058205E-2</v>
      </c>
      <c r="I332" s="23">
        <v>0</v>
      </c>
      <c r="J332" s="23">
        <v>0</v>
      </c>
      <c r="K332" s="23">
        <f t="shared" si="45"/>
        <v>0.69798948500000002</v>
      </c>
      <c r="L332" s="45">
        <v>0</v>
      </c>
      <c r="M332" s="23">
        <v>0</v>
      </c>
      <c r="N332" s="23">
        <f t="shared" si="43"/>
        <v>0.73904769000000003</v>
      </c>
      <c r="O332" s="23">
        <f t="shared" si="39"/>
        <v>0</v>
      </c>
      <c r="P332" s="23">
        <f t="shared" si="40"/>
        <v>0.73904769000000003</v>
      </c>
      <c r="Q332" s="109" t="s">
        <v>19</v>
      </c>
      <c r="R332" s="26" t="s">
        <v>346</v>
      </c>
      <c r="S332" s="10" t="s">
        <v>344</v>
      </c>
    </row>
    <row r="333" spans="1:20" ht="317.10000000000002" customHeight="1" thickBot="1" x14ac:dyDescent="0.8">
      <c r="A333" s="20">
        <v>328</v>
      </c>
      <c r="B333" s="415"/>
      <c r="C333" s="415"/>
      <c r="D333" s="417"/>
      <c r="E333" s="20" t="s">
        <v>20</v>
      </c>
      <c r="F333" s="20">
        <v>4.0999999999999996</v>
      </c>
      <c r="G333" s="21">
        <v>20.750302000000001</v>
      </c>
      <c r="H333" s="21">
        <f t="shared" si="44"/>
        <v>0.10375151000000001</v>
      </c>
      <c r="I333" s="21">
        <v>0</v>
      </c>
      <c r="J333" s="21">
        <f>((900*1000)/1000000)</f>
        <v>0.9</v>
      </c>
      <c r="K333" s="21">
        <f t="shared" si="45"/>
        <v>1.7637756700000002</v>
      </c>
      <c r="L333" s="22">
        <v>0</v>
      </c>
      <c r="M333" s="21">
        <f>((1524*1000)/1000000)</f>
        <v>1.524</v>
      </c>
      <c r="N333" s="21">
        <f t="shared" si="43"/>
        <v>1.8675271800000002</v>
      </c>
      <c r="O333" s="21">
        <f t="shared" si="39"/>
        <v>2.4239999999999999</v>
      </c>
      <c r="P333" s="21">
        <f t="shared" si="40"/>
        <v>-0.55647281999999976</v>
      </c>
      <c r="Q333" s="109" t="s">
        <v>19</v>
      </c>
      <c r="R333" s="26" t="s">
        <v>452</v>
      </c>
      <c r="S333" s="10" t="s">
        <v>282</v>
      </c>
      <c r="T333" s="10" t="s">
        <v>310</v>
      </c>
    </row>
    <row r="334" spans="1:20" ht="317.10000000000002" customHeight="1" thickBot="1" x14ac:dyDescent="0.8">
      <c r="A334" s="20">
        <v>329</v>
      </c>
      <c r="B334" s="19" t="s">
        <v>676</v>
      </c>
      <c r="C334" s="19" t="s">
        <v>511</v>
      </c>
      <c r="D334" s="176">
        <v>149006532</v>
      </c>
      <c r="E334" s="20" t="s">
        <v>20</v>
      </c>
      <c r="F334" s="20">
        <v>2.2000000000000002</v>
      </c>
      <c r="G334" s="21">
        <v>20.711238000000002</v>
      </c>
      <c r="H334" s="21">
        <f t="shared" si="44"/>
        <v>0.10355619000000001</v>
      </c>
      <c r="I334" s="21">
        <v>0</v>
      </c>
      <c r="J334" s="21">
        <f>((1+7+20+15+7+16+8+15)*1000)/1000000</f>
        <v>8.8999999999999996E-2</v>
      </c>
      <c r="K334" s="21">
        <f t="shared" si="45"/>
        <v>1.7604552300000003</v>
      </c>
      <c r="L334" s="22">
        <v>0</v>
      </c>
      <c r="M334" s="21">
        <f>((256+134+227+119+200+300+129+1)*1000)/1000000</f>
        <v>1.3660000000000001</v>
      </c>
      <c r="N334" s="21">
        <f t="shared" si="43"/>
        <v>1.8640114200000002</v>
      </c>
      <c r="O334" s="21">
        <f t="shared" si="39"/>
        <v>1.4550000000000001</v>
      </c>
      <c r="P334" s="21">
        <f t="shared" si="40"/>
        <v>0.40901142000000013</v>
      </c>
      <c r="Q334" s="109" t="s">
        <v>284</v>
      </c>
      <c r="R334" s="26" t="s">
        <v>117</v>
      </c>
      <c r="S334" s="10" t="s">
        <v>282</v>
      </c>
      <c r="T334" s="10" t="s">
        <v>283</v>
      </c>
    </row>
    <row r="335" spans="1:20" ht="317.10000000000002" customHeight="1" thickBot="1" x14ac:dyDescent="0.8">
      <c r="A335" s="20">
        <v>330</v>
      </c>
      <c r="B335" s="19" t="s">
        <v>677</v>
      </c>
      <c r="C335" s="19" t="s">
        <v>515</v>
      </c>
      <c r="D335" s="176">
        <v>151919067</v>
      </c>
      <c r="E335" s="20" t="s">
        <v>20</v>
      </c>
      <c r="F335" s="20">
        <v>1.5</v>
      </c>
      <c r="G335" s="21">
        <f>686804.194184382/1000000</f>
        <v>0.68680419418438199</v>
      </c>
      <c r="H335" s="21">
        <f t="shared" si="44"/>
        <v>3.43402097092191E-3</v>
      </c>
      <c r="I335" s="21">
        <v>0</v>
      </c>
      <c r="J335" s="21">
        <v>0</v>
      </c>
      <c r="K335" s="21">
        <f t="shared" si="45"/>
        <v>5.8378356505672475E-2</v>
      </c>
      <c r="L335" s="22">
        <v>0</v>
      </c>
      <c r="M335" s="21">
        <v>0</v>
      </c>
      <c r="N335" s="21">
        <f t="shared" si="43"/>
        <v>6.1812377476594384E-2</v>
      </c>
      <c r="O335" s="21">
        <f t="shared" si="39"/>
        <v>0</v>
      </c>
      <c r="P335" s="21">
        <f t="shared" si="40"/>
        <v>6.1812377476594384E-2</v>
      </c>
      <c r="Q335" s="109" t="s">
        <v>30</v>
      </c>
      <c r="R335" s="26" t="s">
        <v>31</v>
      </c>
      <c r="S335" s="10" t="s">
        <v>344</v>
      </c>
    </row>
    <row r="336" spans="1:20" ht="317.10000000000002" customHeight="1" thickBot="1" x14ac:dyDescent="0.8">
      <c r="A336" s="20">
        <v>331</v>
      </c>
      <c r="B336" s="19" t="s">
        <v>678</v>
      </c>
      <c r="C336" s="19" t="s">
        <v>511</v>
      </c>
      <c r="D336" s="176" t="s">
        <v>679</v>
      </c>
      <c r="E336" s="20" t="s">
        <v>20</v>
      </c>
      <c r="F336" s="20">
        <v>1.2</v>
      </c>
      <c r="G336" s="21">
        <v>9.1352589999999996</v>
      </c>
      <c r="H336" s="21">
        <f t="shared" si="44"/>
        <v>4.5676294999999999E-2</v>
      </c>
      <c r="I336" s="21">
        <v>0</v>
      </c>
      <c r="J336" s="21">
        <v>0</v>
      </c>
      <c r="K336" s="21">
        <f t="shared" si="45"/>
        <v>0.77649701500000001</v>
      </c>
      <c r="L336" s="22">
        <v>0</v>
      </c>
      <c r="M336" s="21">
        <v>0</v>
      </c>
      <c r="N336" s="21">
        <f t="shared" si="43"/>
        <v>0.82217331000000005</v>
      </c>
      <c r="O336" s="21">
        <f t="shared" si="39"/>
        <v>0</v>
      </c>
      <c r="P336" s="21">
        <f t="shared" si="40"/>
        <v>0.82217331000000005</v>
      </c>
      <c r="Q336" s="109" t="s">
        <v>19</v>
      </c>
      <c r="R336" s="26" t="s">
        <v>29</v>
      </c>
      <c r="S336" s="10" t="s">
        <v>344</v>
      </c>
    </row>
    <row r="337" spans="1:29" ht="317.10000000000002" customHeight="1" thickBot="1" x14ac:dyDescent="0.8">
      <c r="A337" s="20">
        <v>332</v>
      </c>
      <c r="B337" s="414" t="s">
        <v>680</v>
      </c>
      <c r="C337" s="414" t="s">
        <v>511</v>
      </c>
      <c r="D337" s="416">
        <v>110019001150</v>
      </c>
      <c r="E337" s="20" t="s">
        <v>18</v>
      </c>
      <c r="F337" s="20">
        <v>3</v>
      </c>
      <c r="G337" s="44">
        <v>2.3969520000000002</v>
      </c>
      <c r="H337" s="23">
        <f t="shared" si="44"/>
        <v>1.1984760000000001E-2</v>
      </c>
      <c r="I337" s="23">
        <v>0</v>
      </c>
      <c r="J337" s="23">
        <f>(11+10+10+10+11+19+10+11+10+10+11)*1000/1000000</f>
        <v>0.123</v>
      </c>
      <c r="K337" s="23">
        <f t="shared" si="45"/>
        <v>0.20374092000000002</v>
      </c>
      <c r="L337" s="45">
        <v>0</v>
      </c>
      <c r="M337" s="23">
        <f>(172+166+184+170+181+328+175+183+174+181+172)*1000/1000000</f>
        <v>2.0859999999999999</v>
      </c>
      <c r="N337" s="23">
        <f t="shared" si="43"/>
        <v>0.21572568000000003</v>
      </c>
      <c r="O337" s="23">
        <f t="shared" si="39"/>
        <v>2.2089999999999996</v>
      </c>
      <c r="P337" s="23">
        <f t="shared" si="40"/>
        <v>-1.9932743199999996</v>
      </c>
      <c r="Q337" s="109" t="s">
        <v>284</v>
      </c>
      <c r="R337" s="26" t="s">
        <v>317</v>
      </c>
      <c r="S337" s="10" t="s">
        <v>282</v>
      </c>
      <c r="T337" s="10" t="s">
        <v>316</v>
      </c>
    </row>
    <row r="338" spans="1:29" ht="317.10000000000002" customHeight="1" thickBot="1" x14ac:dyDescent="0.8">
      <c r="A338" s="20">
        <v>333</v>
      </c>
      <c r="B338" s="415"/>
      <c r="C338" s="415"/>
      <c r="D338" s="417"/>
      <c r="E338" s="20" t="s">
        <v>20</v>
      </c>
      <c r="F338" s="20">
        <v>3</v>
      </c>
      <c r="G338" s="21">
        <v>32.508040000000001</v>
      </c>
      <c r="H338" s="21">
        <f t="shared" si="44"/>
        <v>0.1625402</v>
      </c>
      <c r="I338" s="21">
        <v>0</v>
      </c>
      <c r="J338" s="21">
        <f>((14+25+38+66+20)*1000)/1000000</f>
        <v>0.16300000000000001</v>
      </c>
      <c r="K338" s="21">
        <f t="shared" si="45"/>
        <v>2.7631834000000004</v>
      </c>
      <c r="L338" s="22">
        <v>0</v>
      </c>
      <c r="M338" s="21">
        <f>((339+225+431+641+1128)*1000)/1000000</f>
        <v>2.7639999999999998</v>
      </c>
      <c r="N338" s="21">
        <f t="shared" si="43"/>
        <v>2.9257236000000004</v>
      </c>
      <c r="O338" s="21">
        <f t="shared" si="39"/>
        <v>2.9269999999999996</v>
      </c>
      <c r="P338" s="21">
        <f t="shared" si="40"/>
        <v>-1.2763999999991782E-3</v>
      </c>
      <c r="Q338" s="109" t="s">
        <v>284</v>
      </c>
      <c r="R338" s="26" t="s">
        <v>356</v>
      </c>
      <c r="S338" s="10" t="s">
        <v>282</v>
      </c>
      <c r="T338" s="10" t="s">
        <v>310</v>
      </c>
    </row>
    <row r="339" spans="1:29" ht="317.10000000000002" customHeight="1" thickBot="1" x14ac:dyDescent="0.8">
      <c r="A339" s="394">
        <v>334</v>
      </c>
      <c r="B339" s="414" t="s">
        <v>681</v>
      </c>
      <c r="C339" s="414" t="s">
        <v>511</v>
      </c>
      <c r="D339" s="416">
        <v>28619022612</v>
      </c>
      <c r="E339" s="20" t="s">
        <v>21</v>
      </c>
      <c r="F339" s="20">
        <v>8</v>
      </c>
      <c r="G339" s="23">
        <v>59.324714999999998</v>
      </c>
      <c r="H339" s="23">
        <f>+G339*0.01</f>
        <v>0.59324714999999995</v>
      </c>
      <c r="I339" s="23">
        <v>0</v>
      </c>
      <c r="J339" s="23">
        <f>(38+58+15+98+56+54+47+47+46+16+92)/1000</f>
        <v>0.56699999999999995</v>
      </c>
      <c r="K339" s="23">
        <f>+G339*(10/100)</f>
        <v>5.9324715000000001</v>
      </c>
      <c r="L339" s="45">
        <v>0</v>
      </c>
      <c r="M339" s="23">
        <f>(288+582+247+879+558+546+469+468+461+248+917)/1000</f>
        <v>5.6630000000000003</v>
      </c>
      <c r="N339" s="23">
        <f>+H339+K339</f>
        <v>6.52571865</v>
      </c>
      <c r="O339" s="23">
        <f>+((I339+J339)+(L339+M339))</f>
        <v>6.23</v>
      </c>
      <c r="P339" s="23">
        <f>+N339-O339</f>
        <v>0.29571864999999953</v>
      </c>
      <c r="Q339" s="109" t="s">
        <v>284</v>
      </c>
      <c r="R339" s="26" t="s">
        <v>488</v>
      </c>
      <c r="S339" s="10" t="s">
        <v>282</v>
      </c>
      <c r="T339" s="10" t="s">
        <v>283</v>
      </c>
    </row>
    <row r="340" spans="1:29" ht="317.10000000000002" customHeight="1" thickBot="1" x14ac:dyDescent="0.8">
      <c r="A340" s="395"/>
      <c r="B340" s="418"/>
      <c r="C340" s="418"/>
      <c r="D340" s="419"/>
      <c r="E340" s="58" t="s">
        <v>22</v>
      </c>
      <c r="F340" s="58">
        <v>8</v>
      </c>
      <c r="G340" s="60">
        <f>50239217/1000000</f>
        <v>50.239216999999996</v>
      </c>
      <c r="H340" s="60">
        <f>+G340*0.02</f>
        <v>1.0047843400000001</v>
      </c>
      <c r="I340" s="60">
        <v>0</v>
      </c>
      <c r="J340" s="60">
        <f>((962)*1000)/1000000</f>
        <v>0.96199999999999997</v>
      </c>
      <c r="K340" s="60">
        <f>+G340*(10.5/100)</f>
        <v>5.2751177849999991</v>
      </c>
      <c r="L340" s="61">
        <v>0</v>
      </c>
      <c r="M340" s="60">
        <f>((1414+1040+2596)*1000)/1000000</f>
        <v>5.05</v>
      </c>
      <c r="N340" s="60">
        <f t="shared" si="43"/>
        <v>6.2799021249999996</v>
      </c>
      <c r="O340" s="60">
        <f t="shared" si="39"/>
        <v>6.0119999999999996</v>
      </c>
      <c r="P340" s="60">
        <f t="shared" si="40"/>
        <v>0.26790212499999999</v>
      </c>
      <c r="Q340" s="110" t="s">
        <v>19</v>
      </c>
      <c r="R340" s="29" t="s">
        <v>118</v>
      </c>
      <c r="S340" s="7" t="s">
        <v>282</v>
      </c>
      <c r="T340" s="7" t="s">
        <v>283</v>
      </c>
      <c r="U340" s="7"/>
      <c r="V340" s="7"/>
      <c r="W340" s="7"/>
      <c r="X340" s="7"/>
      <c r="Y340" s="7"/>
      <c r="Z340" s="7"/>
      <c r="AA340" s="7"/>
      <c r="AB340" s="7"/>
      <c r="AC340" s="7"/>
    </row>
    <row r="341" spans="1:29" ht="317.10000000000002" customHeight="1" thickBot="1" x14ac:dyDescent="0.8">
      <c r="A341" s="395"/>
      <c r="B341" s="418"/>
      <c r="C341" s="418"/>
      <c r="D341" s="419"/>
      <c r="E341" s="20" t="s">
        <v>18</v>
      </c>
      <c r="F341" s="20">
        <v>7.8</v>
      </c>
      <c r="G341" s="44">
        <v>66.579936000000004</v>
      </c>
      <c r="H341" s="23">
        <f t="shared" ref="H341:H346" si="46">+G341*0.005</f>
        <v>0.33289968000000003</v>
      </c>
      <c r="I341" s="23">
        <v>0</v>
      </c>
      <c r="J341" s="23">
        <f>(83+161+74)*1000/1000000</f>
        <v>0.318</v>
      </c>
      <c r="K341" s="23">
        <f t="shared" ref="K341:K346" si="47">+G341*(8.5/100)</f>
        <v>5.6592945600000011</v>
      </c>
      <c r="L341" s="45">
        <v>0</v>
      </c>
      <c r="M341" s="23">
        <f>(1412+2747+1242)*1000/1000000</f>
        <v>5.4009999999999998</v>
      </c>
      <c r="N341" s="23">
        <f t="shared" si="43"/>
        <v>5.9921942400000008</v>
      </c>
      <c r="O341" s="23">
        <f t="shared" si="39"/>
        <v>5.7189999999999994</v>
      </c>
      <c r="P341" s="23">
        <f t="shared" si="40"/>
        <v>0.27319424000000136</v>
      </c>
      <c r="Q341" s="109" t="s">
        <v>284</v>
      </c>
      <c r="R341" s="26" t="s">
        <v>326</v>
      </c>
      <c r="S341" s="10" t="s">
        <v>282</v>
      </c>
      <c r="T341" s="10" t="s">
        <v>283</v>
      </c>
    </row>
    <row r="342" spans="1:29" ht="317.10000000000002" customHeight="1" thickBot="1" x14ac:dyDescent="0.8">
      <c r="A342" s="396"/>
      <c r="B342" s="415"/>
      <c r="C342" s="415"/>
      <c r="D342" s="417"/>
      <c r="E342" s="20" t="s">
        <v>20</v>
      </c>
      <c r="F342" s="20">
        <v>7.8</v>
      </c>
      <c r="G342" s="21">
        <v>67.614239999999995</v>
      </c>
      <c r="H342" s="21">
        <f t="shared" si="46"/>
        <v>0.33807119999999996</v>
      </c>
      <c r="I342" s="21">
        <v>0</v>
      </c>
      <c r="J342" s="21">
        <f>((1+82+86+128+27)*1000)/1000000</f>
        <v>0.32400000000000001</v>
      </c>
      <c r="K342" s="21">
        <f t="shared" si="47"/>
        <v>5.7472104000000002</v>
      </c>
      <c r="L342" s="22">
        <v>0</v>
      </c>
      <c r="M342" s="21">
        <f>((69+1397+1462+2124+449)*1000)/1000000</f>
        <v>5.5010000000000003</v>
      </c>
      <c r="N342" s="21">
        <f t="shared" si="43"/>
        <v>6.0852816000000001</v>
      </c>
      <c r="O342" s="21">
        <f t="shared" si="39"/>
        <v>5.8250000000000002</v>
      </c>
      <c r="P342" s="21">
        <f t="shared" si="40"/>
        <v>0.26028159999999989</v>
      </c>
      <c r="Q342" s="109" t="s">
        <v>284</v>
      </c>
      <c r="R342" s="26" t="s">
        <v>401</v>
      </c>
      <c r="S342" s="10" t="s">
        <v>282</v>
      </c>
      <c r="T342" s="10" t="s">
        <v>283</v>
      </c>
    </row>
    <row r="343" spans="1:29" ht="317.10000000000002" customHeight="1" thickBot="1" x14ac:dyDescent="0.8">
      <c r="A343" s="394">
        <v>338</v>
      </c>
      <c r="B343" s="414" t="s">
        <v>682</v>
      </c>
      <c r="C343" s="414" t="s">
        <v>511</v>
      </c>
      <c r="D343" s="416">
        <v>172939030617</v>
      </c>
      <c r="E343" s="20" t="s">
        <v>18</v>
      </c>
      <c r="F343" s="20">
        <v>1.5</v>
      </c>
      <c r="G343" s="23">
        <v>3.5909520000000001</v>
      </c>
      <c r="H343" s="23">
        <f t="shared" si="46"/>
        <v>1.795476E-2</v>
      </c>
      <c r="I343" s="23">
        <v>0</v>
      </c>
      <c r="J343" s="23">
        <v>0</v>
      </c>
      <c r="K343" s="23">
        <f t="shared" si="47"/>
        <v>0.30523092000000002</v>
      </c>
      <c r="L343" s="45">
        <v>0</v>
      </c>
      <c r="M343" s="23">
        <v>0</v>
      </c>
      <c r="N343" s="23">
        <f t="shared" si="43"/>
        <v>0.32318568000000003</v>
      </c>
      <c r="O343" s="23">
        <f t="shared" si="39"/>
        <v>0</v>
      </c>
      <c r="P343" s="23">
        <f t="shared" si="40"/>
        <v>0.32318568000000003</v>
      </c>
      <c r="Q343" s="109" t="s">
        <v>19</v>
      </c>
      <c r="R343" s="26" t="s">
        <v>346</v>
      </c>
      <c r="S343" s="10" t="s">
        <v>344</v>
      </c>
    </row>
    <row r="344" spans="1:29" ht="317.10000000000002" customHeight="1" thickBot="1" x14ac:dyDescent="0.8">
      <c r="A344" s="396"/>
      <c r="B344" s="415"/>
      <c r="C344" s="415"/>
      <c r="D344" s="417"/>
      <c r="E344" s="20" t="s">
        <v>20</v>
      </c>
      <c r="F344" s="20">
        <v>1.5</v>
      </c>
      <c r="G344" s="21">
        <v>14.667802</v>
      </c>
      <c r="H344" s="21">
        <f t="shared" si="46"/>
        <v>7.3339009999999996E-2</v>
      </c>
      <c r="I344" s="21">
        <v>0</v>
      </c>
      <c r="J344" s="21">
        <f>(((74)*1000)/1000000)</f>
        <v>7.3999999999999996E-2</v>
      </c>
      <c r="K344" s="21">
        <f t="shared" si="47"/>
        <v>1.2467631700000001</v>
      </c>
      <c r="L344" s="22">
        <v>0</v>
      </c>
      <c r="M344" s="21">
        <f>((1247*1000)/1000000)</f>
        <v>1.2470000000000001</v>
      </c>
      <c r="N344" s="21">
        <f t="shared" si="43"/>
        <v>1.3201021800000001</v>
      </c>
      <c r="O344" s="21">
        <f t="shared" si="39"/>
        <v>1.3210000000000002</v>
      </c>
      <c r="P344" s="21">
        <f t="shared" si="40"/>
        <v>-8.9782000000004913E-4</v>
      </c>
      <c r="Q344" s="109" t="s">
        <v>19</v>
      </c>
      <c r="R344" s="26" t="s">
        <v>55</v>
      </c>
      <c r="S344" s="10" t="s">
        <v>282</v>
      </c>
      <c r="T344" s="10" t="s">
        <v>310</v>
      </c>
    </row>
    <row r="345" spans="1:29" ht="317.10000000000002" customHeight="1" thickBot="1" x14ac:dyDescent="0.8">
      <c r="A345" s="20">
        <v>340</v>
      </c>
      <c r="B345" s="19" t="s">
        <v>683</v>
      </c>
      <c r="C345" s="19" t="s">
        <v>511</v>
      </c>
      <c r="D345" s="176">
        <v>510019001219</v>
      </c>
      <c r="E345" s="20" t="s">
        <v>20</v>
      </c>
      <c r="F345" s="20">
        <v>3</v>
      </c>
      <c r="G345" s="21">
        <v>4.7590830000000004</v>
      </c>
      <c r="H345" s="21">
        <f t="shared" si="46"/>
        <v>2.3795415000000004E-2</v>
      </c>
      <c r="I345" s="21">
        <v>0</v>
      </c>
      <c r="J345" s="21">
        <f>(11+11)*1000/1000000</f>
        <v>2.1999999999999999E-2</v>
      </c>
      <c r="K345" s="21">
        <f t="shared" si="47"/>
        <v>0.40452205500000005</v>
      </c>
      <c r="L345" s="22">
        <v>0</v>
      </c>
      <c r="M345" s="21">
        <f>(177+188)*1000/1000000</f>
        <v>0.36499999999999999</v>
      </c>
      <c r="N345" s="21">
        <f t="shared" si="43"/>
        <v>0.42831747000000003</v>
      </c>
      <c r="O345" s="21">
        <f t="shared" si="39"/>
        <v>0.38700000000000001</v>
      </c>
      <c r="P345" s="21">
        <f t="shared" si="40"/>
        <v>4.1317470000000023E-2</v>
      </c>
      <c r="Q345" s="109" t="s">
        <v>284</v>
      </c>
      <c r="R345" s="26" t="s">
        <v>414</v>
      </c>
      <c r="S345" s="10" t="s">
        <v>282</v>
      </c>
      <c r="T345" s="10" t="s">
        <v>283</v>
      </c>
    </row>
    <row r="346" spans="1:29" ht="317.10000000000002" customHeight="1" thickBot="1" x14ac:dyDescent="0.8">
      <c r="A346" s="20">
        <v>341</v>
      </c>
      <c r="B346" s="414" t="s">
        <v>684</v>
      </c>
      <c r="C346" s="414" t="s">
        <v>511</v>
      </c>
      <c r="D346" s="416">
        <v>510019005980</v>
      </c>
      <c r="E346" s="20" t="s">
        <v>20</v>
      </c>
      <c r="F346" s="20">
        <v>5</v>
      </c>
      <c r="G346" s="21">
        <v>30.826398999999999</v>
      </c>
      <c r="H346" s="21">
        <f t="shared" si="46"/>
        <v>0.15413199499999999</v>
      </c>
      <c r="I346" s="21">
        <v>0</v>
      </c>
      <c r="J346" s="21">
        <f>(20+20+20+57+22)*1000/1000000</f>
        <v>0.13900000000000001</v>
      </c>
      <c r="K346" s="21">
        <f t="shared" si="47"/>
        <v>2.6202439150000001</v>
      </c>
      <c r="L346" s="22">
        <v>0</v>
      </c>
      <c r="M346" s="21">
        <f>(300+300+400+997+366)*1000/1000000</f>
        <v>2.363</v>
      </c>
      <c r="N346" s="21">
        <f t="shared" si="43"/>
        <v>2.7743759100000003</v>
      </c>
      <c r="O346" s="21">
        <f t="shared" si="39"/>
        <v>2.5019999999999998</v>
      </c>
      <c r="P346" s="21">
        <f t="shared" si="40"/>
        <v>0.2723759100000005</v>
      </c>
      <c r="Q346" s="109" t="s">
        <v>284</v>
      </c>
      <c r="R346" s="26" t="s">
        <v>414</v>
      </c>
      <c r="S346" s="10" t="s">
        <v>282</v>
      </c>
      <c r="T346" s="10" t="s">
        <v>283</v>
      </c>
    </row>
    <row r="347" spans="1:29" ht="317.10000000000002" customHeight="1" thickBot="1" x14ac:dyDescent="0.8">
      <c r="A347" s="20">
        <v>342</v>
      </c>
      <c r="B347" s="415"/>
      <c r="C347" s="415"/>
      <c r="D347" s="417"/>
      <c r="E347" s="20" t="s">
        <v>21</v>
      </c>
      <c r="F347" s="20">
        <v>6.3</v>
      </c>
      <c r="G347" s="20">
        <v>19.091605000000001</v>
      </c>
      <c r="H347" s="23">
        <f>+G347*0.01</f>
        <v>0.19091605</v>
      </c>
      <c r="I347" s="23">
        <v>0</v>
      </c>
      <c r="J347" s="23">
        <f>171/1000</f>
        <v>0.17100000000000001</v>
      </c>
      <c r="K347" s="23">
        <f>+G347*(10/100)</f>
        <v>1.9091605000000003</v>
      </c>
      <c r="L347" s="45">
        <v>0</v>
      </c>
      <c r="M347" s="23">
        <f>1535/1000</f>
        <v>1.5349999999999999</v>
      </c>
      <c r="N347" s="23">
        <f t="shared" si="43"/>
        <v>2.1000765500000003</v>
      </c>
      <c r="O347" s="23">
        <f t="shared" si="39"/>
        <v>1.706</v>
      </c>
      <c r="P347" s="23">
        <f t="shared" si="40"/>
        <v>0.3940765500000003</v>
      </c>
      <c r="Q347" s="109" t="s">
        <v>284</v>
      </c>
      <c r="R347" s="26" t="s">
        <v>487</v>
      </c>
      <c r="S347" s="10" t="s">
        <v>282</v>
      </c>
      <c r="T347" s="10" t="s">
        <v>283</v>
      </c>
    </row>
    <row r="348" spans="1:29" ht="317.10000000000002" customHeight="1" thickBot="1" x14ac:dyDescent="0.8">
      <c r="A348" s="20">
        <v>343</v>
      </c>
      <c r="B348" s="19" t="s">
        <v>685</v>
      </c>
      <c r="C348" s="19" t="s">
        <v>511</v>
      </c>
      <c r="D348" s="176">
        <v>510019006390</v>
      </c>
      <c r="E348" s="20" t="s">
        <v>20</v>
      </c>
      <c r="F348" s="20">
        <v>4</v>
      </c>
      <c r="G348" s="21">
        <v>3.2755700000000001</v>
      </c>
      <c r="H348" s="21">
        <f t="shared" ref="H348:H356" si="48">+G348*0.005</f>
        <v>1.6377849999999999E-2</v>
      </c>
      <c r="I348" s="21">
        <v>0</v>
      </c>
      <c r="J348" s="21">
        <f>(15)*1000/1000000</f>
        <v>1.4999999999999999E-2</v>
      </c>
      <c r="K348" s="21">
        <f t="shared" ref="K348:K356" si="49">+G348*(8.5/100)</f>
        <v>0.27842345000000002</v>
      </c>
      <c r="L348" s="22">
        <v>0</v>
      </c>
      <c r="M348" s="21">
        <f>(250)*1000/1000000</f>
        <v>0.25</v>
      </c>
      <c r="N348" s="21">
        <f t="shared" si="43"/>
        <v>0.29480130000000004</v>
      </c>
      <c r="O348" s="21">
        <f t="shared" si="39"/>
        <v>0.26500000000000001</v>
      </c>
      <c r="P348" s="21">
        <f t="shared" si="40"/>
        <v>2.9801300000000031E-2</v>
      </c>
      <c r="Q348" s="109" t="s">
        <v>284</v>
      </c>
      <c r="R348" s="26" t="s">
        <v>414</v>
      </c>
      <c r="S348" s="10" t="s">
        <v>282</v>
      </c>
      <c r="T348" s="10" t="s">
        <v>283</v>
      </c>
    </row>
    <row r="349" spans="1:29" ht="317.10000000000002" customHeight="1" thickBot="1" x14ac:dyDescent="0.8">
      <c r="A349" s="20">
        <v>344</v>
      </c>
      <c r="B349" s="19" t="s">
        <v>686</v>
      </c>
      <c r="C349" s="19" t="s">
        <v>511</v>
      </c>
      <c r="D349" s="176">
        <v>493019040750</v>
      </c>
      <c r="E349" s="20" t="s">
        <v>20</v>
      </c>
      <c r="F349" s="20">
        <v>4.5</v>
      </c>
      <c r="G349" s="21">
        <v>7.4603250000000001</v>
      </c>
      <c r="H349" s="21">
        <f t="shared" si="48"/>
        <v>3.7301624999999998E-2</v>
      </c>
      <c r="I349" s="21">
        <v>0</v>
      </c>
      <c r="J349" s="21">
        <v>0</v>
      </c>
      <c r="K349" s="21">
        <f t="shared" si="49"/>
        <v>0.63412762500000008</v>
      </c>
      <c r="L349" s="22">
        <v>0</v>
      </c>
      <c r="M349" s="21">
        <v>0</v>
      </c>
      <c r="N349" s="21">
        <f t="shared" si="43"/>
        <v>0.67142925000000009</v>
      </c>
      <c r="O349" s="21">
        <f t="shared" si="39"/>
        <v>0</v>
      </c>
      <c r="P349" s="21">
        <f t="shared" si="40"/>
        <v>0.67142925000000009</v>
      </c>
      <c r="Q349" s="109" t="s">
        <v>19</v>
      </c>
      <c r="R349" s="26" t="s">
        <v>446</v>
      </c>
      <c r="S349" s="10" t="s">
        <v>344</v>
      </c>
    </row>
    <row r="350" spans="1:29" ht="317.10000000000002" customHeight="1" thickBot="1" x14ac:dyDescent="0.8">
      <c r="A350" s="394">
        <v>345</v>
      </c>
      <c r="B350" s="414" t="s">
        <v>687</v>
      </c>
      <c r="C350" s="414" t="s">
        <v>511</v>
      </c>
      <c r="D350" s="416">
        <v>184059032630</v>
      </c>
      <c r="E350" s="20" t="s">
        <v>18</v>
      </c>
      <c r="F350" s="20">
        <v>1</v>
      </c>
      <c r="G350" s="23">
        <v>7.9647290000000002</v>
      </c>
      <c r="H350" s="23">
        <f t="shared" si="48"/>
        <v>3.9823645000000005E-2</v>
      </c>
      <c r="I350" s="23">
        <v>0</v>
      </c>
      <c r="J350" s="23">
        <f>(4+3+2+3+4+6+4+4+5)*1000/1000000</f>
        <v>3.5000000000000003E-2</v>
      </c>
      <c r="K350" s="23">
        <f t="shared" si="49"/>
        <v>0.67700196500000009</v>
      </c>
      <c r="L350" s="45">
        <v>0</v>
      </c>
      <c r="M350" s="23">
        <f>(86+62+59+111+59+63+36+57+50)*1000/1000000</f>
        <v>0.58299999999999996</v>
      </c>
      <c r="N350" s="23">
        <f t="shared" si="43"/>
        <v>0.71682561000000011</v>
      </c>
      <c r="O350" s="23">
        <f t="shared" si="39"/>
        <v>0.61799999999999999</v>
      </c>
      <c r="P350" s="23">
        <f t="shared" si="40"/>
        <v>9.8825610000000119E-2</v>
      </c>
      <c r="Q350" s="109" t="s">
        <v>277</v>
      </c>
      <c r="R350" s="26" t="s">
        <v>278</v>
      </c>
      <c r="S350" s="30" t="s">
        <v>279</v>
      </c>
      <c r="T350" s="30" t="s">
        <v>280</v>
      </c>
      <c r="U350" s="30"/>
      <c r="V350" s="30"/>
      <c r="W350" s="30"/>
      <c r="X350" s="30"/>
      <c r="Y350" s="30"/>
      <c r="Z350" s="30"/>
      <c r="AA350" s="30"/>
      <c r="AB350" s="30"/>
      <c r="AC350" s="30"/>
    </row>
    <row r="351" spans="1:29" ht="317.10000000000002" customHeight="1" thickBot="1" x14ac:dyDescent="0.8">
      <c r="A351" s="396"/>
      <c r="B351" s="415"/>
      <c r="C351" s="415"/>
      <c r="D351" s="417"/>
      <c r="E351" s="20" t="s">
        <v>20</v>
      </c>
      <c r="F351" s="20">
        <v>1.3</v>
      </c>
      <c r="G351" s="21">
        <v>12.724080000000001</v>
      </c>
      <c r="H351" s="21">
        <f>+G351*0.005</f>
        <v>6.3620400000000008E-2</v>
      </c>
      <c r="I351" s="21">
        <v>0</v>
      </c>
      <c r="J351" s="21">
        <v>0</v>
      </c>
      <c r="K351" s="21">
        <f>+G351*(8.5/100)</f>
        <v>1.0815468000000001</v>
      </c>
      <c r="L351" s="22">
        <v>0</v>
      </c>
      <c r="M351" s="21">
        <v>0</v>
      </c>
      <c r="N351" s="21">
        <f>+H351+K351</f>
        <v>1.1451672000000002</v>
      </c>
      <c r="O351" s="21">
        <f>+((I351+J351)+(L351+M351))</f>
        <v>0</v>
      </c>
      <c r="P351" s="21">
        <f>+N351-O351</f>
        <v>1.1451672000000002</v>
      </c>
      <c r="Q351" s="109" t="s">
        <v>19</v>
      </c>
      <c r="R351" s="26" t="s">
        <v>449</v>
      </c>
      <c r="S351" s="10" t="s">
        <v>344</v>
      </c>
    </row>
    <row r="352" spans="1:29" ht="317.10000000000002" customHeight="1" thickBot="1" x14ac:dyDescent="0.8">
      <c r="A352" s="394">
        <v>347</v>
      </c>
      <c r="B352" s="414" t="s">
        <v>688</v>
      </c>
      <c r="C352" s="414" t="s">
        <v>511</v>
      </c>
      <c r="D352" s="416">
        <v>186849005495</v>
      </c>
      <c r="E352" s="20" t="s">
        <v>18</v>
      </c>
      <c r="F352" s="20">
        <v>8.6999999999999993</v>
      </c>
      <c r="G352" s="44">
        <v>4.2</v>
      </c>
      <c r="H352" s="23">
        <f t="shared" si="48"/>
        <v>2.1000000000000001E-2</v>
      </c>
      <c r="I352" s="23">
        <v>0</v>
      </c>
      <c r="J352" s="23">
        <f>(18*1000)/1000000</f>
        <v>1.7999999999999999E-2</v>
      </c>
      <c r="K352" s="23">
        <f t="shared" si="49"/>
        <v>0.35700000000000004</v>
      </c>
      <c r="L352" s="45">
        <v>0</v>
      </c>
      <c r="M352" s="23">
        <f>(309*1000)/1000000</f>
        <v>0.309</v>
      </c>
      <c r="N352" s="23">
        <f t="shared" si="43"/>
        <v>0.37800000000000006</v>
      </c>
      <c r="O352" s="23">
        <f t="shared" si="39"/>
        <v>0.32700000000000001</v>
      </c>
      <c r="P352" s="23">
        <f t="shared" si="40"/>
        <v>5.1000000000000045E-2</v>
      </c>
      <c r="Q352" s="109" t="s">
        <v>284</v>
      </c>
      <c r="R352" s="26" t="s">
        <v>327</v>
      </c>
      <c r="S352" s="10" t="s">
        <v>282</v>
      </c>
      <c r="T352" s="10" t="s">
        <v>283</v>
      </c>
    </row>
    <row r="353" spans="1:29" ht="317.10000000000002" customHeight="1" thickBot="1" x14ac:dyDescent="0.8">
      <c r="A353" s="396"/>
      <c r="B353" s="415"/>
      <c r="C353" s="415"/>
      <c r="D353" s="417"/>
      <c r="E353" s="20" t="s">
        <v>20</v>
      </c>
      <c r="F353" s="20">
        <v>8.6999999999999993</v>
      </c>
      <c r="G353" s="21">
        <v>17.627276999999999</v>
      </c>
      <c r="H353" s="21">
        <f t="shared" si="48"/>
        <v>8.8136384999999998E-2</v>
      </c>
      <c r="I353" s="21">
        <v>0</v>
      </c>
      <c r="J353" s="21">
        <v>0</v>
      </c>
      <c r="K353" s="21">
        <f t="shared" si="49"/>
        <v>1.4983185450000001</v>
      </c>
      <c r="L353" s="22">
        <v>5.21E-2</v>
      </c>
      <c r="M353" s="21">
        <f>1.219</f>
        <v>1.2190000000000001</v>
      </c>
      <c r="N353" s="21">
        <f t="shared" si="43"/>
        <v>1.5864549300000002</v>
      </c>
      <c r="O353" s="21">
        <f t="shared" si="39"/>
        <v>1.2711000000000001</v>
      </c>
      <c r="P353" s="21">
        <f t="shared" si="40"/>
        <v>0.31535493000000003</v>
      </c>
      <c r="Q353" s="109" t="s">
        <v>284</v>
      </c>
      <c r="R353" s="26" t="s">
        <v>361</v>
      </c>
      <c r="S353" s="10" t="s">
        <v>282</v>
      </c>
      <c r="T353" s="10" t="s">
        <v>283</v>
      </c>
    </row>
    <row r="354" spans="1:29" ht="317.10000000000002" customHeight="1" thickBot="1" x14ac:dyDescent="0.8">
      <c r="A354" s="20">
        <v>349</v>
      </c>
      <c r="B354" s="19" t="s">
        <v>689</v>
      </c>
      <c r="C354" s="19" t="s">
        <v>511</v>
      </c>
      <c r="D354" s="176">
        <v>57469020390</v>
      </c>
      <c r="E354" s="20" t="s">
        <v>20</v>
      </c>
      <c r="F354" s="20">
        <v>3</v>
      </c>
      <c r="G354" s="21">
        <v>1.479336</v>
      </c>
      <c r="H354" s="21">
        <f t="shared" si="48"/>
        <v>7.3966800000000001E-3</v>
      </c>
      <c r="I354" s="21">
        <v>0</v>
      </c>
      <c r="J354" s="21">
        <f>((8)*1000/1000000)</f>
        <v>8.0000000000000002E-3</v>
      </c>
      <c r="K354" s="21">
        <f t="shared" si="49"/>
        <v>0.12574356</v>
      </c>
      <c r="L354" s="22">
        <v>0</v>
      </c>
      <c r="M354" s="21">
        <f>((126)*1000/1000000)</f>
        <v>0.126</v>
      </c>
      <c r="N354" s="21">
        <f t="shared" si="43"/>
        <v>0.13314023999999999</v>
      </c>
      <c r="O354" s="21">
        <f t="shared" si="39"/>
        <v>0.13400000000000001</v>
      </c>
      <c r="P354" s="21">
        <f t="shared" si="40"/>
        <v>-8.5976000000001496E-4</v>
      </c>
      <c r="Q354" s="109" t="s">
        <v>284</v>
      </c>
      <c r="R354" s="26" t="s">
        <v>361</v>
      </c>
      <c r="S354" s="10" t="s">
        <v>282</v>
      </c>
      <c r="T354" s="10" t="s">
        <v>310</v>
      </c>
    </row>
    <row r="355" spans="1:29" ht="317.10000000000002" customHeight="1" thickBot="1" x14ac:dyDescent="0.8">
      <c r="A355" s="394">
        <v>350</v>
      </c>
      <c r="B355" s="414" t="s">
        <v>690</v>
      </c>
      <c r="C355" s="414" t="s">
        <v>511</v>
      </c>
      <c r="D355" s="416">
        <v>38749024760</v>
      </c>
      <c r="E355" s="20" t="s">
        <v>18</v>
      </c>
      <c r="F355" s="20">
        <v>15</v>
      </c>
      <c r="G355" s="23">
        <v>64.519679999999994</v>
      </c>
      <c r="H355" s="23">
        <f t="shared" si="48"/>
        <v>0.32259839999999995</v>
      </c>
      <c r="I355" s="23">
        <v>0</v>
      </c>
      <c r="J355" s="23">
        <v>0</v>
      </c>
      <c r="K355" s="23">
        <f t="shared" si="49"/>
        <v>5.4841727999999996</v>
      </c>
      <c r="L355" s="45">
        <v>0</v>
      </c>
      <c r="M355" s="23">
        <v>0</v>
      </c>
      <c r="N355" s="23">
        <f t="shared" si="43"/>
        <v>5.8067712</v>
      </c>
      <c r="O355" s="23">
        <f t="shared" si="39"/>
        <v>0</v>
      </c>
      <c r="P355" s="23">
        <f t="shared" si="40"/>
        <v>5.8067712</v>
      </c>
      <c r="Q355" s="109" t="s">
        <v>19</v>
      </c>
      <c r="R355" s="26" t="s">
        <v>346</v>
      </c>
      <c r="S355" s="10" t="s">
        <v>344</v>
      </c>
    </row>
    <row r="356" spans="1:29" ht="317.10000000000002" customHeight="1" thickBot="1" x14ac:dyDescent="0.8">
      <c r="A356" s="395"/>
      <c r="B356" s="418"/>
      <c r="C356" s="418"/>
      <c r="D356" s="419"/>
      <c r="E356" s="20" t="s">
        <v>20</v>
      </c>
      <c r="F356" s="20">
        <v>25</v>
      </c>
      <c r="G356" s="21">
        <v>54.780380000000001</v>
      </c>
      <c r="H356" s="21">
        <f t="shared" si="48"/>
        <v>0.27390190000000003</v>
      </c>
      <c r="I356" s="21">
        <v>0</v>
      </c>
      <c r="J356" s="21">
        <f>((35+178+40+22)*1000/1000000)</f>
        <v>0.27500000000000002</v>
      </c>
      <c r="K356" s="21">
        <f t="shared" si="49"/>
        <v>4.6563323000000008</v>
      </c>
      <c r="L356" s="22">
        <v>0</v>
      </c>
      <c r="M356" s="21">
        <f>((361+663+500+3133)*1000/1000000)</f>
        <v>4.657</v>
      </c>
      <c r="N356" s="21">
        <f t="shared" si="43"/>
        <v>4.930234200000001</v>
      </c>
      <c r="O356" s="21">
        <f t="shared" si="39"/>
        <v>4.9320000000000004</v>
      </c>
      <c r="P356" s="21">
        <f t="shared" si="40"/>
        <v>-1.7657999999993734E-3</v>
      </c>
      <c r="Q356" s="109" t="s">
        <v>284</v>
      </c>
      <c r="R356" s="26" t="s">
        <v>428</v>
      </c>
      <c r="S356" s="10" t="s">
        <v>282</v>
      </c>
      <c r="T356" s="10" t="s">
        <v>310</v>
      </c>
    </row>
    <row r="357" spans="1:29" ht="317.10000000000002" customHeight="1" thickBot="1" x14ac:dyDescent="0.8">
      <c r="A357" s="395"/>
      <c r="B357" s="418"/>
      <c r="C357" s="418"/>
      <c r="D357" s="419"/>
      <c r="E357" s="20" t="s">
        <v>21</v>
      </c>
      <c r="F357" s="20">
        <v>25</v>
      </c>
      <c r="G357" s="20">
        <v>156.43657300000001</v>
      </c>
      <c r="H357" s="23">
        <f>+G357*0.01</f>
        <v>1.5643657300000002</v>
      </c>
      <c r="I357" s="23">
        <v>0</v>
      </c>
      <c r="J357" s="23">
        <f>((104+97+22+211+104+97+111+122+125+74+133+130+144)*1000)/1000000</f>
        <v>1.474</v>
      </c>
      <c r="K357" s="23">
        <f>+G357*(10/100)</f>
        <v>15.643657300000001</v>
      </c>
      <c r="L357" s="45">
        <v>0</v>
      </c>
      <c r="M357" s="23">
        <f>((1042+971+361+1973+3123+1224+1247+740+1332+1306+1434)*1000)/1000000</f>
        <v>14.753</v>
      </c>
      <c r="N357" s="23">
        <f t="shared" si="43"/>
        <v>17.20802303</v>
      </c>
      <c r="O357" s="23">
        <f t="shared" si="39"/>
        <v>16.227</v>
      </c>
      <c r="P357" s="23">
        <f t="shared" si="40"/>
        <v>0.98102302999999935</v>
      </c>
      <c r="Q357" s="109" t="s">
        <v>307</v>
      </c>
      <c r="R357" s="26" t="s">
        <v>478</v>
      </c>
      <c r="S357" s="10" t="s">
        <v>282</v>
      </c>
      <c r="T357" s="10" t="s">
        <v>283</v>
      </c>
    </row>
    <row r="358" spans="1:29" ht="317.10000000000002" customHeight="1" thickBot="1" x14ac:dyDescent="0.8">
      <c r="A358" s="395"/>
      <c r="B358" s="418"/>
      <c r="C358" s="418"/>
      <c r="D358" s="419"/>
      <c r="E358" s="58" t="s">
        <v>22</v>
      </c>
      <c r="F358" s="58">
        <v>30</v>
      </c>
      <c r="G358" s="58">
        <f>80643120/1000000</f>
        <v>80.643119999999996</v>
      </c>
      <c r="H358" s="60">
        <f>+G358*0.02</f>
        <v>1.6128624</v>
      </c>
      <c r="I358" s="60">
        <v>0</v>
      </c>
      <c r="J358" s="60">
        <f>(1526*1000)/1000000</f>
        <v>1.526</v>
      </c>
      <c r="K358" s="60">
        <f>+G358*(10.5/100)</f>
        <v>8.4675275999999986</v>
      </c>
      <c r="L358" s="61">
        <v>0</v>
      </c>
      <c r="M358" s="60">
        <f>((641+7369)*1000)/1000000</f>
        <v>8.01</v>
      </c>
      <c r="N358" s="60">
        <f>+H358+K358</f>
        <v>10.080389999999998</v>
      </c>
      <c r="O358" s="60">
        <f>+((I358+J358)+(L358+M358))</f>
        <v>9.5359999999999996</v>
      </c>
      <c r="P358" s="60">
        <f>+N358-O358</f>
        <v>0.54438999999999815</v>
      </c>
      <c r="Q358" s="110" t="s">
        <v>19</v>
      </c>
      <c r="R358" s="27" t="s">
        <v>119</v>
      </c>
      <c r="S358" s="7" t="s">
        <v>282</v>
      </c>
      <c r="T358" s="7" t="s">
        <v>283</v>
      </c>
      <c r="U358" s="7"/>
      <c r="V358" s="7"/>
      <c r="W358" s="7"/>
      <c r="X358" s="7"/>
      <c r="Y358" s="7"/>
      <c r="Z358" s="7"/>
      <c r="AA358" s="7"/>
      <c r="AB358" s="7"/>
      <c r="AC358" s="7"/>
    </row>
    <row r="359" spans="1:29" ht="317.10000000000002" customHeight="1" thickBot="1" x14ac:dyDescent="0.8">
      <c r="A359" s="396"/>
      <c r="B359" s="415"/>
      <c r="C359" s="415"/>
      <c r="D359" s="417"/>
      <c r="E359" s="53" t="s">
        <v>27</v>
      </c>
      <c r="F359" s="140">
        <v>15</v>
      </c>
      <c r="G359" s="140">
        <v>56.887999999999998</v>
      </c>
      <c r="H359" s="141">
        <f>+G359*(3.5/100)</f>
        <v>1.9910800000000002</v>
      </c>
      <c r="I359" s="141">
        <v>0</v>
      </c>
      <c r="J359" s="141">
        <f>(0*1000)/1000000</f>
        <v>0</v>
      </c>
      <c r="K359" s="141">
        <f>+G359*(11.5/100)</f>
        <v>6.5421199999999997</v>
      </c>
      <c r="L359" s="142">
        <v>6.3460000000000001</v>
      </c>
      <c r="M359" s="141">
        <f>((0)*1000)/1000000</f>
        <v>0</v>
      </c>
      <c r="N359" s="141">
        <f t="shared" si="43"/>
        <v>8.5332000000000008</v>
      </c>
      <c r="O359" s="54">
        <f t="shared" si="39"/>
        <v>6.3460000000000001</v>
      </c>
      <c r="P359" s="54">
        <f t="shared" si="40"/>
        <v>2.1872000000000007</v>
      </c>
      <c r="Q359" s="112" t="s">
        <v>500</v>
      </c>
      <c r="R359" s="38" t="s">
        <v>120</v>
      </c>
      <c r="S359" s="7" t="s">
        <v>282</v>
      </c>
      <c r="T359" s="7" t="s">
        <v>283</v>
      </c>
      <c r="U359" s="7"/>
      <c r="V359" s="7"/>
      <c r="W359" s="7"/>
      <c r="X359" s="7"/>
      <c r="Y359" s="7"/>
      <c r="Z359" s="7"/>
      <c r="AA359" s="7"/>
      <c r="AB359" s="7"/>
      <c r="AC359" s="7"/>
    </row>
    <row r="360" spans="1:29" ht="317.10000000000002" customHeight="1" thickBot="1" x14ac:dyDescent="0.8">
      <c r="A360" s="20">
        <v>355</v>
      </c>
      <c r="B360" s="19" t="s">
        <v>691</v>
      </c>
      <c r="C360" s="19" t="s">
        <v>511</v>
      </c>
      <c r="D360" s="176" t="s">
        <v>692</v>
      </c>
      <c r="E360" s="20" t="s">
        <v>20</v>
      </c>
      <c r="F360" s="20">
        <v>1.9</v>
      </c>
      <c r="G360" s="21">
        <v>5.5309200000000001</v>
      </c>
      <c r="H360" s="21">
        <f>+G360*0.005</f>
        <v>2.7654600000000001E-2</v>
      </c>
      <c r="I360" s="21">
        <v>0</v>
      </c>
      <c r="J360" s="21">
        <f>(24+4)*1000/1000000</f>
        <v>2.8000000000000001E-2</v>
      </c>
      <c r="K360" s="21">
        <f>+G360*(8.5/100)</f>
        <v>0.47012820000000005</v>
      </c>
      <c r="L360" s="22">
        <v>0</v>
      </c>
      <c r="M360" s="21">
        <f>(415+56)*1000/1000000</f>
        <v>0.47099999999999997</v>
      </c>
      <c r="N360" s="21">
        <f t="shared" si="43"/>
        <v>0.49778280000000008</v>
      </c>
      <c r="O360" s="21">
        <f t="shared" si="39"/>
        <v>0.499</v>
      </c>
      <c r="P360" s="21">
        <f t="shared" si="40"/>
        <v>-1.2171999999999183E-3</v>
      </c>
      <c r="Q360" s="109" t="s">
        <v>284</v>
      </c>
      <c r="R360" s="26" t="s">
        <v>408</v>
      </c>
      <c r="S360" s="10" t="s">
        <v>282</v>
      </c>
      <c r="T360" s="10" t="s">
        <v>310</v>
      </c>
    </row>
    <row r="361" spans="1:29" ht="317.10000000000002" customHeight="1" thickBot="1" x14ac:dyDescent="0.8">
      <c r="A361" s="20">
        <v>356</v>
      </c>
      <c r="B361" s="414" t="s">
        <v>121</v>
      </c>
      <c r="C361" s="414" t="s">
        <v>511</v>
      </c>
      <c r="D361" s="416">
        <v>18019053600</v>
      </c>
      <c r="E361" s="20" t="s">
        <v>18</v>
      </c>
      <c r="F361" s="20">
        <v>5.75</v>
      </c>
      <c r="G361" s="23">
        <v>14.779071999999999</v>
      </c>
      <c r="H361" s="23">
        <f>+G361*0.005</f>
        <v>7.3895359999999993E-2</v>
      </c>
      <c r="I361" s="23">
        <v>0</v>
      </c>
      <c r="J361" s="23">
        <f>(75*1000/1000000)</f>
        <v>7.4999999999999997E-2</v>
      </c>
      <c r="K361" s="23">
        <f>+G361*(8.5/100)</f>
        <v>1.25622112</v>
      </c>
      <c r="L361" s="45">
        <v>0</v>
      </c>
      <c r="M361" s="23">
        <f>((539+727)*1000/1000000)</f>
        <v>1.266</v>
      </c>
      <c r="N361" s="23">
        <f>+H361+K361</f>
        <v>1.33011648</v>
      </c>
      <c r="O361" s="23">
        <f>+((I361+J361)+(L361+M361))</f>
        <v>1.341</v>
      </c>
      <c r="P361" s="23">
        <f>+N361-O361</f>
        <v>-1.0883519999999924E-2</v>
      </c>
      <c r="Q361" s="109" t="s">
        <v>284</v>
      </c>
      <c r="R361" s="26" t="s">
        <v>309</v>
      </c>
      <c r="S361" s="10" t="s">
        <v>283</v>
      </c>
      <c r="T361" s="10" t="s">
        <v>310</v>
      </c>
    </row>
    <row r="362" spans="1:29" ht="317.10000000000002" customHeight="1" thickBot="1" x14ac:dyDescent="0.8">
      <c r="A362" s="20">
        <v>357</v>
      </c>
      <c r="B362" s="418"/>
      <c r="C362" s="418"/>
      <c r="D362" s="419"/>
      <c r="E362" s="20" t="s">
        <v>20</v>
      </c>
      <c r="F362" s="20">
        <v>5.75</v>
      </c>
      <c r="G362" s="21">
        <v>41.126385999999997</v>
      </c>
      <c r="H362" s="21">
        <f>+G362*0.005</f>
        <v>0.20563192999999999</v>
      </c>
      <c r="I362" s="21">
        <v>0</v>
      </c>
      <c r="J362" s="21">
        <v>0.19800000000000001</v>
      </c>
      <c r="K362" s="21">
        <f>+G362*(8.5/100)</f>
        <v>3.4957428099999999</v>
      </c>
      <c r="L362" s="22">
        <v>0</v>
      </c>
      <c r="M362" s="21">
        <v>3.3519999999999999</v>
      </c>
      <c r="N362" s="21">
        <f t="shared" si="43"/>
        <v>3.7013747399999999</v>
      </c>
      <c r="O362" s="21">
        <f t="shared" ref="O362:O425" si="50">+((I362+J362)+(L362+M362))</f>
        <v>3.55</v>
      </c>
      <c r="P362" s="21">
        <f t="shared" ref="P362:P425" si="51">+N362-O362</f>
        <v>0.15137474000000006</v>
      </c>
      <c r="Q362" s="109" t="s">
        <v>284</v>
      </c>
      <c r="R362" s="26" t="s">
        <v>363</v>
      </c>
      <c r="S362" s="10" t="s">
        <v>282</v>
      </c>
      <c r="T362" s="10" t="s">
        <v>283</v>
      </c>
    </row>
    <row r="363" spans="1:29" ht="317.10000000000002" customHeight="1" thickBot="1" x14ac:dyDescent="0.8">
      <c r="A363" s="20">
        <v>358</v>
      </c>
      <c r="B363" s="418"/>
      <c r="C363" s="418"/>
      <c r="D363" s="419"/>
      <c r="E363" s="20" t="s">
        <v>21</v>
      </c>
      <c r="F363" s="20">
        <v>6</v>
      </c>
      <c r="G363" s="23">
        <v>36.709668000000001</v>
      </c>
      <c r="H363" s="23">
        <f>+G363*0.01</f>
        <v>0.36709668000000001</v>
      </c>
      <c r="I363" s="23">
        <v>0</v>
      </c>
      <c r="J363" s="23">
        <v>0</v>
      </c>
      <c r="K363" s="23">
        <f>+G363*(10/100)</f>
        <v>3.6709668000000004</v>
      </c>
      <c r="L363" s="45">
        <v>0</v>
      </c>
      <c r="M363" s="23">
        <v>0</v>
      </c>
      <c r="N363" s="23">
        <f t="shared" si="43"/>
        <v>4.0380634800000008</v>
      </c>
      <c r="O363" s="23">
        <f t="shared" si="50"/>
        <v>0</v>
      </c>
      <c r="P363" s="23">
        <f t="shared" si="51"/>
        <v>4.0380634800000008</v>
      </c>
      <c r="Q363" s="109" t="s">
        <v>19</v>
      </c>
      <c r="R363" s="26" t="s">
        <v>489</v>
      </c>
      <c r="S363" s="10" t="s">
        <v>344</v>
      </c>
    </row>
    <row r="364" spans="1:29" ht="317.10000000000002" customHeight="1" thickBot="1" x14ac:dyDescent="0.8">
      <c r="A364" s="20">
        <v>359</v>
      </c>
      <c r="B364" s="415"/>
      <c r="C364" s="415"/>
      <c r="D364" s="417"/>
      <c r="E364" s="58" t="s">
        <v>22</v>
      </c>
      <c r="F364" s="58">
        <v>5</v>
      </c>
      <c r="G364" s="60">
        <f>1960800/1000000</f>
        <v>1.9608000000000001</v>
      </c>
      <c r="H364" s="60">
        <f>+G364*0.02</f>
        <v>3.9216000000000001E-2</v>
      </c>
      <c r="I364" s="60">
        <v>0</v>
      </c>
      <c r="J364" s="60">
        <v>0</v>
      </c>
      <c r="K364" s="60">
        <f>+G364*(10.5/100)</f>
        <v>0.20588400000000001</v>
      </c>
      <c r="L364" s="61">
        <v>0</v>
      </c>
      <c r="M364" s="60">
        <v>0</v>
      </c>
      <c r="N364" s="60">
        <f>+H364+K364</f>
        <v>0.24510000000000001</v>
      </c>
      <c r="O364" s="60">
        <f>+((I364+J364)+(L364+M364))</f>
        <v>0</v>
      </c>
      <c r="P364" s="60">
        <f>+N364-O364</f>
        <v>0.24510000000000001</v>
      </c>
      <c r="Q364" s="110" t="s">
        <v>19</v>
      </c>
      <c r="R364" s="27" t="s">
        <v>122</v>
      </c>
      <c r="S364" s="7" t="s">
        <v>344</v>
      </c>
      <c r="T364" s="7"/>
      <c r="U364" s="7"/>
      <c r="V364" s="7"/>
      <c r="W364" s="7"/>
      <c r="X364" s="7"/>
      <c r="Y364" s="7"/>
      <c r="Z364" s="7"/>
      <c r="AA364" s="7"/>
      <c r="AB364" s="7"/>
      <c r="AC364" s="7"/>
    </row>
    <row r="365" spans="1:29" ht="317.10000000000002" customHeight="1" thickBot="1" x14ac:dyDescent="0.8">
      <c r="A365" s="20">
        <v>362</v>
      </c>
      <c r="B365" s="414" t="s">
        <v>693</v>
      </c>
      <c r="C365" s="414" t="s">
        <v>511</v>
      </c>
      <c r="D365" s="416">
        <v>331519050080</v>
      </c>
      <c r="E365" s="20" t="s">
        <v>18</v>
      </c>
      <c r="F365" s="20">
        <v>3</v>
      </c>
      <c r="G365" s="44">
        <v>4.3791909999999996</v>
      </c>
      <c r="H365" s="23">
        <f>+G365*0.005</f>
        <v>2.1895954999999998E-2</v>
      </c>
      <c r="I365" s="23">
        <v>0</v>
      </c>
      <c r="J365" s="23">
        <v>0.02</v>
      </c>
      <c r="K365" s="23">
        <f>+G365*(8.5/100)</f>
        <v>0.37223123499999999</v>
      </c>
      <c r="L365" s="45">
        <v>0</v>
      </c>
      <c r="M365" s="23">
        <v>0.33100000000000002</v>
      </c>
      <c r="N365" s="23">
        <f>+H365+K365</f>
        <v>0.39412719000000002</v>
      </c>
      <c r="O365" s="23">
        <f>+((I365+J365)+(L365+M365))</f>
        <v>0.35100000000000003</v>
      </c>
      <c r="P365" s="23">
        <f>+N365-O365</f>
        <v>4.3127189999999982E-2</v>
      </c>
      <c r="Q365" s="109" t="s">
        <v>284</v>
      </c>
      <c r="R365" s="26" t="s">
        <v>322</v>
      </c>
      <c r="S365" s="10" t="s">
        <v>282</v>
      </c>
      <c r="T365" s="10" t="s">
        <v>283</v>
      </c>
    </row>
    <row r="366" spans="1:29" ht="317.10000000000002" customHeight="1" thickBot="1" x14ac:dyDescent="0.8">
      <c r="A366" s="20">
        <v>360</v>
      </c>
      <c r="B366" s="415"/>
      <c r="C366" s="415"/>
      <c r="D366" s="417"/>
      <c r="E366" s="20" t="s">
        <v>20</v>
      </c>
      <c r="F366" s="20">
        <v>9.5</v>
      </c>
      <c r="G366" s="21">
        <v>23.013297999999999</v>
      </c>
      <c r="H366" s="21">
        <f t="shared" ref="H366:H372" si="52">+G366*0.005</f>
        <v>0.11506648999999999</v>
      </c>
      <c r="I366" s="21">
        <v>0</v>
      </c>
      <c r="J366" s="21">
        <f>(73+15+25+9)*1000/1000000</f>
        <v>0.122</v>
      </c>
      <c r="K366" s="21">
        <f t="shared" ref="K366:K372" si="53">+G366*(8.5/100)</f>
        <v>1.9561303300000001</v>
      </c>
      <c r="L366" s="22">
        <v>0</v>
      </c>
      <c r="M366" s="21">
        <f>(1250+250+432+157)*1000/1000000</f>
        <v>2.089</v>
      </c>
      <c r="N366" s="21">
        <f t="shared" si="43"/>
        <v>2.0711968199999999</v>
      </c>
      <c r="O366" s="21">
        <f t="shared" si="50"/>
        <v>2.2109999999999999</v>
      </c>
      <c r="P366" s="21">
        <f t="shared" si="51"/>
        <v>-0.13980317999999992</v>
      </c>
      <c r="Q366" s="109" t="s">
        <v>284</v>
      </c>
      <c r="R366" s="26" t="s">
        <v>419</v>
      </c>
      <c r="S366" s="10" t="s">
        <v>282</v>
      </c>
      <c r="T366" s="10" t="s">
        <v>310</v>
      </c>
    </row>
    <row r="367" spans="1:29" ht="317.10000000000002" customHeight="1" thickBot="1" x14ac:dyDescent="0.8">
      <c r="A367" s="20">
        <v>361</v>
      </c>
      <c r="B367" s="19" t="s">
        <v>694</v>
      </c>
      <c r="C367" s="19" t="s">
        <v>511</v>
      </c>
      <c r="D367" s="176">
        <v>331519054340</v>
      </c>
      <c r="E367" s="20" t="s">
        <v>20</v>
      </c>
      <c r="F367" s="20">
        <v>4.9000000000000004</v>
      </c>
      <c r="G367" s="21">
        <v>11.50578</v>
      </c>
      <c r="H367" s="21">
        <f t="shared" si="52"/>
        <v>5.7528900000000001E-2</v>
      </c>
      <c r="I367" s="21">
        <v>0</v>
      </c>
      <c r="J367" s="21">
        <f>(37+10+8+5)*1000/1000000</f>
        <v>0.06</v>
      </c>
      <c r="K367" s="21">
        <f t="shared" si="53"/>
        <v>0.97799130000000001</v>
      </c>
      <c r="L367" s="22">
        <v>0</v>
      </c>
      <c r="M367" s="21">
        <f>(620+150+187+79)*1000/1000000</f>
        <v>1.036</v>
      </c>
      <c r="N367" s="21">
        <f t="shared" si="43"/>
        <v>1.0355202000000001</v>
      </c>
      <c r="O367" s="21">
        <f t="shared" si="50"/>
        <v>1.0960000000000001</v>
      </c>
      <c r="P367" s="21">
        <f t="shared" si="51"/>
        <v>-6.0479799999999972E-2</v>
      </c>
      <c r="Q367" s="109" t="s">
        <v>284</v>
      </c>
      <c r="R367" s="26" t="s">
        <v>420</v>
      </c>
      <c r="S367" s="10" t="s">
        <v>282</v>
      </c>
      <c r="T367" s="10" t="s">
        <v>310</v>
      </c>
    </row>
    <row r="368" spans="1:29" ht="317.10000000000002" customHeight="1" thickBot="1" x14ac:dyDescent="0.8">
      <c r="A368" s="20">
        <v>363</v>
      </c>
      <c r="B368" s="19" t="s">
        <v>695</v>
      </c>
      <c r="C368" s="19" t="s">
        <v>511</v>
      </c>
      <c r="D368" s="176">
        <v>28619033260</v>
      </c>
      <c r="E368" s="20" t="s">
        <v>18</v>
      </c>
      <c r="F368" s="20">
        <v>4.907</v>
      </c>
      <c r="G368" s="44">
        <v>2.1816770000000001</v>
      </c>
      <c r="H368" s="23">
        <f t="shared" si="52"/>
        <v>1.0908385000000001E-2</v>
      </c>
      <c r="I368" s="23">
        <v>0</v>
      </c>
      <c r="J368" s="23">
        <v>0.01</v>
      </c>
      <c r="K368" s="23">
        <f t="shared" si="53"/>
        <v>0.18544254500000001</v>
      </c>
      <c r="L368" s="45">
        <v>0</v>
      </c>
      <c r="M368" s="23">
        <v>0.16500000000000001</v>
      </c>
      <c r="N368" s="23">
        <f t="shared" si="43"/>
        <v>0.19635093000000001</v>
      </c>
      <c r="O368" s="23">
        <f t="shared" si="50"/>
        <v>0.17500000000000002</v>
      </c>
      <c r="P368" s="23">
        <f t="shared" si="51"/>
        <v>2.135092999999999E-2</v>
      </c>
      <c r="Q368" s="109" t="s">
        <v>284</v>
      </c>
      <c r="R368" s="26" t="s">
        <v>333</v>
      </c>
      <c r="S368" s="10" t="s">
        <v>282</v>
      </c>
      <c r="T368" s="10" t="s">
        <v>283</v>
      </c>
    </row>
    <row r="369" spans="1:29" ht="317.10000000000002" customHeight="1" thickBot="1" x14ac:dyDescent="0.8">
      <c r="A369" s="20">
        <v>364</v>
      </c>
      <c r="B369" s="19" t="s">
        <v>696</v>
      </c>
      <c r="C369" s="19" t="s">
        <v>511</v>
      </c>
      <c r="D369" s="176">
        <v>94509003739</v>
      </c>
      <c r="E369" s="20" t="s">
        <v>20</v>
      </c>
      <c r="F369" s="20">
        <v>4.9989999999999997</v>
      </c>
      <c r="G369" s="21">
        <v>7.5921120000000002</v>
      </c>
      <c r="H369" s="21">
        <f t="shared" si="52"/>
        <v>3.7960560000000004E-2</v>
      </c>
      <c r="I369" s="21">
        <v>0</v>
      </c>
      <c r="J369" s="21">
        <f>((35)*1000)/1000000</f>
        <v>3.5000000000000003E-2</v>
      </c>
      <c r="K369" s="21">
        <f t="shared" si="53"/>
        <v>0.6453295200000001</v>
      </c>
      <c r="L369" s="22">
        <v>0</v>
      </c>
      <c r="M369" s="21">
        <f>(593)*1000/1000000</f>
        <v>0.59299999999999997</v>
      </c>
      <c r="N369" s="21">
        <f t="shared" si="43"/>
        <v>0.68329008000000013</v>
      </c>
      <c r="O369" s="21">
        <f t="shared" si="50"/>
        <v>0.628</v>
      </c>
      <c r="P369" s="21">
        <f t="shared" si="51"/>
        <v>5.529008000000013E-2</v>
      </c>
      <c r="Q369" s="109" t="s">
        <v>284</v>
      </c>
      <c r="R369" s="26" t="s">
        <v>409</v>
      </c>
      <c r="S369" s="10" t="s">
        <v>282</v>
      </c>
      <c r="T369" s="10" t="s">
        <v>283</v>
      </c>
    </row>
    <row r="370" spans="1:29" ht="317.10000000000002" customHeight="1" thickBot="1" x14ac:dyDescent="0.8">
      <c r="A370" s="20">
        <v>365</v>
      </c>
      <c r="B370" s="19" t="s">
        <v>697</v>
      </c>
      <c r="C370" s="19" t="s">
        <v>511</v>
      </c>
      <c r="D370" s="176">
        <v>-94029005310</v>
      </c>
      <c r="E370" s="20" t="s">
        <v>20</v>
      </c>
      <c r="F370" s="20">
        <v>4.5</v>
      </c>
      <c r="G370" s="21">
        <v>7.4843650000000004</v>
      </c>
      <c r="H370" s="21">
        <f t="shared" si="52"/>
        <v>3.7421825000000006E-2</v>
      </c>
      <c r="I370" s="21">
        <v>0</v>
      </c>
      <c r="J370" s="21">
        <f>((34)*1000)/1000000</f>
        <v>3.4000000000000002E-2</v>
      </c>
      <c r="K370" s="21">
        <f t="shared" si="53"/>
        <v>0.63617102500000011</v>
      </c>
      <c r="L370" s="22">
        <v>0</v>
      </c>
      <c r="M370" s="21">
        <f>(576)*1000/1000000</f>
        <v>0.57599999999999996</v>
      </c>
      <c r="N370" s="21">
        <f t="shared" si="43"/>
        <v>0.67359285000000013</v>
      </c>
      <c r="O370" s="21">
        <f t="shared" si="50"/>
        <v>0.61</v>
      </c>
      <c r="P370" s="21">
        <f t="shared" si="51"/>
        <v>6.3592850000000145E-2</v>
      </c>
      <c r="Q370" s="109" t="s">
        <v>284</v>
      </c>
      <c r="R370" s="26" t="s">
        <v>409</v>
      </c>
      <c r="S370" s="10" t="s">
        <v>282</v>
      </c>
      <c r="T370" s="10" t="s">
        <v>283</v>
      </c>
    </row>
    <row r="371" spans="1:29" ht="317.10000000000002" customHeight="1" thickBot="1" x14ac:dyDescent="0.8">
      <c r="A371" s="20">
        <v>366</v>
      </c>
      <c r="B371" s="19" t="s">
        <v>698</v>
      </c>
      <c r="C371" s="19" t="s">
        <v>511</v>
      </c>
      <c r="D371" s="176">
        <v>370019004790</v>
      </c>
      <c r="E371" s="20" t="s">
        <v>20</v>
      </c>
      <c r="F371" s="20">
        <v>1.6</v>
      </c>
      <c r="G371" s="21">
        <v>3.2649599999999999</v>
      </c>
      <c r="H371" s="21">
        <f t="shared" si="52"/>
        <v>1.63248E-2</v>
      </c>
      <c r="I371" s="21">
        <v>0</v>
      </c>
      <c r="J371" s="21">
        <v>0</v>
      </c>
      <c r="K371" s="21">
        <f t="shared" si="53"/>
        <v>0.27752160000000003</v>
      </c>
      <c r="L371" s="22">
        <v>0</v>
      </c>
      <c r="M371" s="21">
        <v>0</v>
      </c>
      <c r="N371" s="21">
        <f t="shared" si="43"/>
        <v>0.29384640000000006</v>
      </c>
      <c r="O371" s="21">
        <f t="shared" si="50"/>
        <v>0</v>
      </c>
      <c r="P371" s="21">
        <f t="shared" si="51"/>
        <v>0.29384640000000006</v>
      </c>
      <c r="Q371" s="109" t="s">
        <v>19</v>
      </c>
      <c r="R371" s="26" t="s">
        <v>449</v>
      </c>
      <c r="S371" s="10" t="s">
        <v>344</v>
      </c>
    </row>
    <row r="372" spans="1:29" ht="317.10000000000002" customHeight="1" thickBot="1" x14ac:dyDescent="0.8">
      <c r="A372" s="20">
        <v>367</v>
      </c>
      <c r="B372" s="19" t="s">
        <v>699</v>
      </c>
      <c r="C372" s="19" t="s">
        <v>511</v>
      </c>
      <c r="D372" s="176">
        <v>170149007302</v>
      </c>
      <c r="E372" s="20" t="s">
        <v>20</v>
      </c>
      <c r="F372" s="20">
        <v>1</v>
      </c>
      <c r="G372" s="21">
        <v>9.7273399999999999</v>
      </c>
      <c r="H372" s="21">
        <f t="shared" si="52"/>
        <v>4.8636699999999998E-2</v>
      </c>
      <c r="I372" s="21">
        <v>0</v>
      </c>
      <c r="J372" s="21">
        <v>0</v>
      </c>
      <c r="K372" s="21">
        <f t="shared" si="53"/>
        <v>0.82682390000000006</v>
      </c>
      <c r="L372" s="22">
        <v>0</v>
      </c>
      <c r="M372" s="21">
        <v>0</v>
      </c>
      <c r="N372" s="21">
        <f t="shared" si="43"/>
        <v>0.87546060000000003</v>
      </c>
      <c r="O372" s="21">
        <f t="shared" si="50"/>
        <v>0</v>
      </c>
      <c r="P372" s="21">
        <f t="shared" si="51"/>
        <v>0.87546060000000003</v>
      </c>
      <c r="Q372" s="109" t="s">
        <v>19</v>
      </c>
      <c r="R372" s="26" t="s">
        <v>449</v>
      </c>
      <c r="S372" s="10" t="s">
        <v>344</v>
      </c>
    </row>
    <row r="373" spans="1:29" ht="317.10000000000002" customHeight="1" x14ac:dyDescent="0.75">
      <c r="A373" s="20">
        <v>368</v>
      </c>
      <c r="B373" s="414" t="s">
        <v>700</v>
      </c>
      <c r="C373" s="414" t="s">
        <v>511</v>
      </c>
      <c r="D373" s="416">
        <v>170149001771</v>
      </c>
      <c r="E373" s="20" t="s">
        <v>18</v>
      </c>
      <c r="F373" s="20">
        <v>10.41</v>
      </c>
      <c r="G373" s="44">
        <v>8.2642500000000005</v>
      </c>
      <c r="H373" s="23">
        <f>+G373*0.005</f>
        <v>4.1321250000000004E-2</v>
      </c>
      <c r="I373" s="23">
        <v>0</v>
      </c>
      <c r="J373" s="23">
        <v>0</v>
      </c>
      <c r="K373" s="23">
        <f>+G373*(8.5/100)</f>
        <v>0.70246125000000015</v>
      </c>
      <c r="L373" s="45">
        <v>0</v>
      </c>
      <c r="M373" s="23">
        <v>0</v>
      </c>
      <c r="N373" s="23">
        <f t="shared" si="43"/>
        <v>0.74378250000000012</v>
      </c>
      <c r="O373" s="23">
        <f t="shared" si="50"/>
        <v>0</v>
      </c>
      <c r="P373" s="23">
        <f t="shared" si="51"/>
        <v>0.74378250000000012</v>
      </c>
      <c r="Q373" s="105" t="s">
        <v>284</v>
      </c>
      <c r="R373" s="24" t="s">
        <v>334</v>
      </c>
      <c r="S373" s="10" t="s">
        <v>282</v>
      </c>
      <c r="T373" s="10" t="s">
        <v>283</v>
      </c>
    </row>
    <row r="374" spans="1:29" ht="317.10000000000002" customHeight="1" x14ac:dyDescent="0.75">
      <c r="A374" s="20">
        <v>369</v>
      </c>
      <c r="B374" s="418"/>
      <c r="C374" s="418"/>
      <c r="D374" s="419"/>
      <c r="E374" s="20" t="s">
        <v>20</v>
      </c>
      <c r="F374" s="20">
        <v>10</v>
      </c>
      <c r="G374" s="21">
        <v>44.416707000000002</v>
      </c>
      <c r="H374" s="21">
        <f>+G374*0.005</f>
        <v>0.22208353500000003</v>
      </c>
      <c r="I374" s="21">
        <v>9.6600000000000005E-2</v>
      </c>
      <c r="J374" s="21">
        <f>(((190)*1000)/1000000)</f>
        <v>0.19</v>
      </c>
      <c r="K374" s="21">
        <f>+G374*(8.5/100)</f>
        <v>3.7754200950000003</v>
      </c>
      <c r="L374" s="22">
        <v>3.2</v>
      </c>
      <c r="M374" s="21">
        <v>0</v>
      </c>
      <c r="N374" s="21">
        <f>+H374+K374</f>
        <v>3.9975036300000002</v>
      </c>
      <c r="O374" s="21">
        <f>+((I374+J374)+(L374+M374))</f>
        <v>3.4866000000000001</v>
      </c>
      <c r="P374" s="21">
        <f>+N374-O374</f>
        <v>0.51090363000000005</v>
      </c>
      <c r="Q374" s="105" t="s">
        <v>284</v>
      </c>
      <c r="R374" s="24" t="s">
        <v>384</v>
      </c>
      <c r="S374" s="10" t="s">
        <v>282</v>
      </c>
      <c r="T374" s="10" t="s">
        <v>283</v>
      </c>
    </row>
    <row r="375" spans="1:29" ht="317.10000000000002" customHeight="1" thickBot="1" x14ac:dyDescent="0.8">
      <c r="A375" s="20">
        <v>370</v>
      </c>
      <c r="B375" s="418"/>
      <c r="C375" s="418"/>
      <c r="D375" s="419"/>
      <c r="E375" s="20" t="s">
        <v>21</v>
      </c>
      <c r="F375" s="20">
        <v>5</v>
      </c>
      <c r="G375" s="23">
        <v>37.578763000000002</v>
      </c>
      <c r="H375" s="23">
        <f>+G375*0.01</f>
        <v>0.37578763000000004</v>
      </c>
      <c r="I375" s="23">
        <f>(0.0508+0.0566)</f>
        <v>0.1074</v>
      </c>
      <c r="J375" s="23">
        <f>(219*1000)/1000000</f>
        <v>0.219</v>
      </c>
      <c r="K375" s="23">
        <f>+G375*(10/100)</f>
        <v>3.7578763000000004</v>
      </c>
      <c r="L375" s="45">
        <f>(0.1566+0.2787+0.3606+0.4372+0.1696+0.1596+0.1231+0.143+0.1711+0.1641+0.1443+0.1123)</f>
        <v>2.4201999999999999</v>
      </c>
      <c r="M375" s="23">
        <f>(845*1000)/1000000</f>
        <v>0.84499999999999997</v>
      </c>
      <c r="N375" s="23">
        <f t="shared" si="43"/>
        <v>4.1336639300000009</v>
      </c>
      <c r="O375" s="23">
        <f t="shared" si="50"/>
        <v>3.5916000000000001</v>
      </c>
      <c r="P375" s="23">
        <f t="shared" si="51"/>
        <v>0.54206393000000075</v>
      </c>
      <c r="Q375" s="105" t="s">
        <v>284</v>
      </c>
      <c r="R375" s="24" t="s">
        <v>474</v>
      </c>
      <c r="S375" s="10" t="s">
        <v>282</v>
      </c>
      <c r="T375" s="10" t="s">
        <v>283</v>
      </c>
    </row>
    <row r="376" spans="1:29" ht="317.10000000000002" customHeight="1" thickBot="1" x14ac:dyDescent="0.8">
      <c r="A376" s="20">
        <v>371</v>
      </c>
      <c r="B376" s="418"/>
      <c r="C376" s="418"/>
      <c r="D376" s="419"/>
      <c r="E376" s="58" t="s">
        <v>22</v>
      </c>
      <c r="F376" s="59">
        <v>7.5</v>
      </c>
      <c r="G376" s="60">
        <f>37009324/1000000</f>
        <v>37.009323999999999</v>
      </c>
      <c r="H376" s="60">
        <f>+G376*0.02</f>
        <v>0.74018647999999998</v>
      </c>
      <c r="I376" s="60">
        <v>0</v>
      </c>
      <c r="J376" s="60">
        <f>(687*1000)/1000000</f>
        <v>0.68700000000000006</v>
      </c>
      <c r="K376" s="60">
        <f>+G376*(10.5/100)</f>
        <v>3.8859790199999997</v>
      </c>
      <c r="L376" s="61">
        <v>2.0834999999999999</v>
      </c>
      <c r="M376" s="60">
        <f>(1523*1000)/1000000</f>
        <v>1.5229999999999999</v>
      </c>
      <c r="N376" s="60">
        <f>+H376+K376</f>
        <v>4.6261654999999999</v>
      </c>
      <c r="O376" s="60">
        <f>+((I376+J376)+(L376+M376))</f>
        <v>4.2934999999999999</v>
      </c>
      <c r="P376" s="60">
        <f>+N376-O376</f>
        <v>0.33266550000000006</v>
      </c>
      <c r="Q376" s="110" t="s">
        <v>292</v>
      </c>
      <c r="R376" s="27" t="s">
        <v>123</v>
      </c>
      <c r="S376" s="7" t="s">
        <v>282</v>
      </c>
      <c r="T376" s="7" t="s">
        <v>283</v>
      </c>
      <c r="U376" s="7"/>
      <c r="V376" s="7"/>
      <c r="W376" s="7"/>
      <c r="X376" s="7"/>
      <c r="Y376" s="7"/>
      <c r="Z376" s="7"/>
      <c r="AA376" s="7"/>
      <c r="AB376" s="7"/>
      <c r="AC376" s="7"/>
    </row>
    <row r="377" spans="1:29" ht="317.10000000000002" customHeight="1" thickBot="1" x14ac:dyDescent="0.8">
      <c r="A377" s="20">
        <v>372</v>
      </c>
      <c r="B377" s="418"/>
      <c r="C377" s="418"/>
      <c r="D377" s="419"/>
      <c r="E377" s="47" t="s">
        <v>24</v>
      </c>
      <c r="F377" s="138">
        <v>7.5</v>
      </c>
      <c r="G377" s="139">
        <v>30.105080999999998</v>
      </c>
      <c r="H377" s="50">
        <f>+G377*(2.75/100)</f>
        <v>0.82788972750000001</v>
      </c>
      <c r="I377" s="50">
        <v>0.70020000000000004</v>
      </c>
      <c r="J377" s="50">
        <f>(733*1000)/1000000</f>
        <v>0.73299999999999998</v>
      </c>
      <c r="K377" s="50">
        <f>+G377*(11/100)</f>
        <v>3.31155891</v>
      </c>
      <c r="L377" s="51">
        <v>2.5455999999999999</v>
      </c>
      <c r="M377" s="50">
        <f>(957*1000)/1000000</f>
        <v>0.95699999999999996</v>
      </c>
      <c r="N377" s="50">
        <f>+H377+K377</f>
        <v>4.1394486375000001</v>
      </c>
      <c r="O377" s="50">
        <f>+((I377+J377)+(L377+M377))</f>
        <v>4.9357999999999995</v>
      </c>
      <c r="P377" s="50">
        <f>+N377-O377</f>
        <v>-0.79635136249999938</v>
      </c>
      <c r="Q377" s="111" t="s">
        <v>25</v>
      </c>
      <c r="R377" s="28" t="s">
        <v>124</v>
      </c>
      <c r="S377" s="7" t="s">
        <v>282</v>
      </c>
      <c r="T377" s="7" t="s">
        <v>310</v>
      </c>
      <c r="U377" s="7"/>
      <c r="V377" s="7"/>
      <c r="W377" s="7"/>
      <c r="X377" s="7"/>
      <c r="Y377" s="7"/>
      <c r="Z377" s="7"/>
      <c r="AA377" s="7"/>
      <c r="AB377" s="7"/>
      <c r="AC377" s="7"/>
    </row>
    <row r="378" spans="1:29" ht="317.10000000000002" customHeight="1" thickBot="1" x14ac:dyDescent="0.8">
      <c r="A378" s="20">
        <v>373</v>
      </c>
      <c r="B378" s="415"/>
      <c r="C378" s="415"/>
      <c r="D378" s="417"/>
      <c r="E378" s="53" t="s">
        <v>27</v>
      </c>
      <c r="F378" s="53">
        <v>17.5</v>
      </c>
      <c r="G378" s="53">
        <v>7.9722330000000001</v>
      </c>
      <c r="H378" s="54">
        <f>+G378*(3.5/100)</f>
        <v>0.27902815500000006</v>
      </c>
      <c r="I378" s="54">
        <v>7.7103999999999999</v>
      </c>
      <c r="J378" s="54">
        <f>(0*1000)/1000000</f>
        <v>0</v>
      </c>
      <c r="K378" s="54">
        <f>+G378*(11.5/100)</f>
        <v>0.91680679500000006</v>
      </c>
      <c r="L378" s="56">
        <v>1.2847999999999999</v>
      </c>
      <c r="M378" s="54">
        <f>(0*1000)/1000000</f>
        <v>0</v>
      </c>
      <c r="N378" s="54">
        <f>+H378+K378</f>
        <v>1.1958349500000001</v>
      </c>
      <c r="O378" s="54">
        <f>+((I378+J378)+(L378+M378))</f>
        <v>8.9952000000000005</v>
      </c>
      <c r="P378" s="54">
        <f>+N378-O378</f>
        <v>-7.7993650500000005</v>
      </c>
      <c r="Q378" s="112" t="s">
        <v>25</v>
      </c>
      <c r="R378" s="38" t="s">
        <v>125</v>
      </c>
      <c r="S378" s="7" t="s">
        <v>282</v>
      </c>
      <c r="T378" s="7" t="s">
        <v>310</v>
      </c>
      <c r="U378" s="7"/>
      <c r="V378" s="7"/>
      <c r="W378" s="7"/>
      <c r="X378" s="7"/>
      <c r="Y378" s="7"/>
      <c r="Z378" s="7"/>
      <c r="AA378" s="7"/>
      <c r="AB378" s="7"/>
      <c r="AC378" s="7"/>
    </row>
    <row r="379" spans="1:29" ht="317.10000000000002" customHeight="1" x14ac:dyDescent="0.75">
      <c r="A379" s="20">
        <v>374</v>
      </c>
      <c r="B379" s="19" t="s">
        <v>701</v>
      </c>
      <c r="C379" s="19" t="s">
        <v>511</v>
      </c>
      <c r="D379" s="176">
        <v>510019000557</v>
      </c>
      <c r="E379" s="20" t="s">
        <v>20</v>
      </c>
      <c r="F379" s="20">
        <v>1.2</v>
      </c>
      <c r="G379" s="21">
        <v>0.95626999999999995</v>
      </c>
      <c r="H379" s="21">
        <f>+G379*0.005</f>
        <v>4.7813500000000002E-3</v>
      </c>
      <c r="I379" s="21">
        <v>0</v>
      </c>
      <c r="J379" s="21">
        <v>0</v>
      </c>
      <c r="K379" s="21">
        <f>+G379*(8.5/100)</f>
        <v>8.1282950000000007E-2</v>
      </c>
      <c r="L379" s="22">
        <v>0</v>
      </c>
      <c r="M379" s="21">
        <v>0</v>
      </c>
      <c r="N379" s="21">
        <f t="shared" si="43"/>
        <v>8.606430000000001E-2</v>
      </c>
      <c r="O379" s="21">
        <f t="shared" si="50"/>
        <v>0</v>
      </c>
      <c r="P379" s="21">
        <f t="shared" si="51"/>
        <v>8.606430000000001E-2</v>
      </c>
      <c r="Q379" s="105" t="s">
        <v>19</v>
      </c>
      <c r="R379" s="24" t="s">
        <v>29</v>
      </c>
      <c r="S379" s="10" t="s">
        <v>344</v>
      </c>
    </row>
    <row r="380" spans="1:29" ht="317.10000000000002" customHeight="1" x14ac:dyDescent="0.75">
      <c r="A380" s="20">
        <v>375</v>
      </c>
      <c r="B380" s="414" t="s">
        <v>702</v>
      </c>
      <c r="C380" s="414" t="s">
        <v>511</v>
      </c>
      <c r="D380" s="416">
        <v>493149040240</v>
      </c>
      <c r="E380" s="20" t="s">
        <v>18</v>
      </c>
      <c r="F380" s="20">
        <v>15.1</v>
      </c>
      <c r="G380" s="44">
        <v>49.317464999999999</v>
      </c>
      <c r="H380" s="23">
        <f>+G380*0.005</f>
        <v>0.246587325</v>
      </c>
      <c r="I380" s="23">
        <v>0</v>
      </c>
      <c r="J380" s="23">
        <v>0</v>
      </c>
      <c r="K380" s="23">
        <f>+G380*(8.5/100)</f>
        <v>4.1919845250000005</v>
      </c>
      <c r="L380" s="45">
        <v>0</v>
      </c>
      <c r="M380" s="23">
        <v>0</v>
      </c>
      <c r="N380" s="23">
        <f t="shared" si="43"/>
        <v>4.4385718500000007</v>
      </c>
      <c r="O380" s="23">
        <f t="shared" si="50"/>
        <v>0</v>
      </c>
      <c r="P380" s="23">
        <f t="shared" si="51"/>
        <v>4.4385718500000007</v>
      </c>
      <c r="Q380" s="105" t="s">
        <v>305</v>
      </c>
      <c r="R380" s="24" t="s">
        <v>346</v>
      </c>
      <c r="S380" s="10" t="s">
        <v>344</v>
      </c>
    </row>
    <row r="381" spans="1:29" ht="317.10000000000002" customHeight="1" x14ac:dyDescent="0.75">
      <c r="A381" s="20">
        <v>376</v>
      </c>
      <c r="B381" s="418"/>
      <c r="C381" s="418"/>
      <c r="D381" s="419"/>
      <c r="E381" s="20" t="s">
        <v>20</v>
      </c>
      <c r="F381" s="20">
        <v>8</v>
      </c>
      <c r="G381" s="21">
        <v>55.930590000000002</v>
      </c>
      <c r="H381" s="21">
        <f>+G381*0.005</f>
        <v>0.27965295000000001</v>
      </c>
      <c r="I381" s="21">
        <v>0</v>
      </c>
      <c r="J381" s="21">
        <v>0</v>
      </c>
      <c r="K381" s="21">
        <f>+G381*(8.5/100)</f>
        <v>4.7541001500000002</v>
      </c>
      <c r="L381" s="22">
        <v>0</v>
      </c>
      <c r="M381" s="21">
        <v>0</v>
      </c>
      <c r="N381" s="21">
        <f t="shared" si="43"/>
        <v>5.0337531000000002</v>
      </c>
      <c r="O381" s="21">
        <f t="shared" si="50"/>
        <v>0</v>
      </c>
      <c r="P381" s="21">
        <f t="shared" si="51"/>
        <v>5.0337531000000002</v>
      </c>
      <c r="Q381" s="105" t="s">
        <v>19</v>
      </c>
      <c r="R381" s="24" t="s">
        <v>447</v>
      </c>
      <c r="S381" s="10" t="s">
        <v>344</v>
      </c>
    </row>
    <row r="382" spans="1:29" ht="317.10000000000002" customHeight="1" x14ac:dyDescent="0.75">
      <c r="A382" s="20">
        <v>377</v>
      </c>
      <c r="B382" s="415"/>
      <c r="C382" s="415"/>
      <c r="D382" s="417"/>
      <c r="E382" s="20" t="s">
        <v>21</v>
      </c>
      <c r="F382" s="20">
        <v>8</v>
      </c>
      <c r="G382" s="20">
        <v>22.369727000000001</v>
      </c>
      <c r="H382" s="23">
        <f>+G382*0.01</f>
        <v>0.22369727</v>
      </c>
      <c r="I382" s="23">
        <v>0</v>
      </c>
      <c r="J382" s="23">
        <v>0</v>
      </c>
      <c r="K382" s="23">
        <f>+G382*(10/100)</f>
        <v>2.2369727000000004</v>
      </c>
      <c r="L382" s="45">
        <v>0</v>
      </c>
      <c r="M382" s="23">
        <v>0</v>
      </c>
      <c r="N382" s="23">
        <f t="shared" si="43"/>
        <v>2.4606699700000005</v>
      </c>
      <c r="O382" s="23">
        <f t="shared" si="50"/>
        <v>0</v>
      </c>
      <c r="P382" s="23">
        <f t="shared" si="51"/>
        <v>2.4606699700000005</v>
      </c>
      <c r="Q382" s="105" t="s">
        <v>19</v>
      </c>
      <c r="R382" s="24" t="s">
        <v>490</v>
      </c>
      <c r="S382" s="7" t="s">
        <v>344</v>
      </c>
      <c r="T382" s="7"/>
      <c r="U382" s="7"/>
      <c r="V382" s="7"/>
      <c r="W382" s="7"/>
      <c r="X382" s="7"/>
      <c r="Y382" s="7"/>
      <c r="Z382" s="7"/>
      <c r="AA382" s="7"/>
      <c r="AB382" s="7"/>
      <c r="AC382" s="7"/>
    </row>
    <row r="383" spans="1:29" ht="317.10000000000002" customHeight="1" x14ac:dyDescent="0.75">
      <c r="A383" s="20">
        <v>378</v>
      </c>
      <c r="B383" s="414" t="s">
        <v>703</v>
      </c>
      <c r="C383" s="414" t="s">
        <v>511</v>
      </c>
      <c r="D383" s="416">
        <v>420819011940</v>
      </c>
      <c r="E383" s="20" t="s">
        <v>20</v>
      </c>
      <c r="F383" s="20">
        <v>5</v>
      </c>
      <c r="G383" s="21">
        <v>18.751439000000001</v>
      </c>
      <c r="H383" s="21">
        <f>+G383*0.005</f>
        <v>9.3757195000000015E-2</v>
      </c>
      <c r="I383" s="21">
        <v>0</v>
      </c>
      <c r="J383" s="21">
        <v>0</v>
      </c>
      <c r="K383" s="21">
        <f>+G383*(8.5/100)</f>
        <v>1.5938723150000003</v>
      </c>
      <c r="L383" s="22">
        <v>0</v>
      </c>
      <c r="M383" s="21">
        <v>0</v>
      </c>
      <c r="N383" s="21">
        <f t="shared" si="43"/>
        <v>1.6876295100000003</v>
      </c>
      <c r="O383" s="21">
        <f t="shared" si="50"/>
        <v>0</v>
      </c>
      <c r="P383" s="21">
        <f t="shared" si="51"/>
        <v>1.6876295100000003</v>
      </c>
      <c r="Q383" s="105" t="s">
        <v>19</v>
      </c>
      <c r="R383" s="24" t="s">
        <v>449</v>
      </c>
      <c r="S383" s="10" t="s">
        <v>344</v>
      </c>
    </row>
    <row r="384" spans="1:29" ht="317.10000000000002" customHeight="1" x14ac:dyDescent="0.75">
      <c r="A384" s="20">
        <v>379</v>
      </c>
      <c r="B384" s="415"/>
      <c r="C384" s="415"/>
      <c r="D384" s="417"/>
      <c r="E384" s="20" t="s">
        <v>21</v>
      </c>
      <c r="F384" s="20">
        <v>5</v>
      </c>
      <c r="G384" s="20">
        <v>6.7317879999999999</v>
      </c>
      <c r="H384" s="23">
        <f>+G384*0.01</f>
        <v>6.7317879999999997E-2</v>
      </c>
      <c r="I384" s="23">
        <v>0</v>
      </c>
      <c r="J384" s="23">
        <v>0</v>
      </c>
      <c r="K384" s="23">
        <f>+G384*(10/100)</f>
        <v>0.67317880000000008</v>
      </c>
      <c r="L384" s="45">
        <v>0</v>
      </c>
      <c r="M384" s="23">
        <v>0</v>
      </c>
      <c r="N384" s="23">
        <f t="shared" si="43"/>
        <v>0.74049668000000013</v>
      </c>
      <c r="O384" s="23">
        <f t="shared" si="50"/>
        <v>0</v>
      </c>
      <c r="P384" s="23">
        <f t="shared" si="51"/>
        <v>0.74049668000000013</v>
      </c>
      <c r="Q384" s="105" t="s">
        <v>19</v>
      </c>
      <c r="R384" s="24" t="s">
        <v>489</v>
      </c>
      <c r="S384" s="10" t="s">
        <v>344</v>
      </c>
    </row>
    <row r="385" spans="1:29" ht="317.10000000000002" customHeight="1" x14ac:dyDescent="0.75">
      <c r="A385" s="20">
        <v>380</v>
      </c>
      <c r="B385" s="19" t="s">
        <v>704</v>
      </c>
      <c r="C385" s="19" t="s">
        <v>511</v>
      </c>
      <c r="D385" s="176">
        <v>410019004167</v>
      </c>
      <c r="E385" s="20" t="s">
        <v>20</v>
      </c>
      <c r="F385" s="20">
        <v>3.5</v>
      </c>
      <c r="G385" s="21">
        <v>17.14574</v>
      </c>
      <c r="H385" s="21">
        <f>+G385*0.005</f>
        <v>8.5728700000000005E-2</v>
      </c>
      <c r="I385" s="21">
        <v>0</v>
      </c>
      <c r="J385" s="21">
        <v>0</v>
      </c>
      <c r="K385" s="21">
        <f>+G385*(8.5/100)</f>
        <v>1.4573879000000001</v>
      </c>
      <c r="L385" s="22">
        <v>0</v>
      </c>
      <c r="M385" s="21">
        <v>0</v>
      </c>
      <c r="N385" s="21">
        <f t="shared" si="43"/>
        <v>1.5431166000000001</v>
      </c>
      <c r="O385" s="21">
        <f t="shared" si="50"/>
        <v>0</v>
      </c>
      <c r="P385" s="21">
        <f t="shared" si="51"/>
        <v>1.5431166000000001</v>
      </c>
      <c r="Q385" s="105" t="s">
        <v>19</v>
      </c>
      <c r="R385" s="24" t="s">
        <v>449</v>
      </c>
      <c r="S385" s="10" t="s">
        <v>344</v>
      </c>
    </row>
    <row r="386" spans="1:29" ht="317.10000000000002" customHeight="1" x14ac:dyDescent="0.75">
      <c r="A386" s="20">
        <v>381</v>
      </c>
      <c r="B386" s="19" t="s">
        <v>705</v>
      </c>
      <c r="C386" s="19" t="s">
        <v>511</v>
      </c>
      <c r="D386" s="176">
        <v>251019006710</v>
      </c>
      <c r="E386" s="20" t="s">
        <v>20</v>
      </c>
      <c r="F386" s="20">
        <v>1</v>
      </c>
      <c r="G386" s="21">
        <v>0.82584000000000002</v>
      </c>
      <c r="H386" s="21">
        <f>+G386*0.005</f>
        <v>4.1292000000000004E-3</v>
      </c>
      <c r="I386" s="21">
        <v>0</v>
      </c>
      <c r="J386" s="21">
        <f>(5)*1000/1000000</f>
        <v>5.0000000000000001E-3</v>
      </c>
      <c r="K386" s="21">
        <f>+G386*(8.5/100)</f>
        <v>7.0196400000000006E-2</v>
      </c>
      <c r="L386" s="22">
        <v>0</v>
      </c>
      <c r="M386" s="21">
        <f>(71)*1000/1000000</f>
        <v>7.0999999999999994E-2</v>
      </c>
      <c r="N386" s="21">
        <f t="shared" si="43"/>
        <v>7.4325600000000006E-2</v>
      </c>
      <c r="O386" s="21">
        <f t="shared" si="50"/>
        <v>7.5999999999999998E-2</v>
      </c>
      <c r="P386" s="21">
        <f t="shared" si="51"/>
        <v>-1.6743999999999926E-3</v>
      </c>
      <c r="Q386" s="105" t="s">
        <v>284</v>
      </c>
      <c r="R386" s="24" t="s">
        <v>414</v>
      </c>
      <c r="S386" s="10" t="s">
        <v>282</v>
      </c>
      <c r="T386" s="10" t="s">
        <v>310</v>
      </c>
    </row>
    <row r="387" spans="1:29" ht="317.10000000000002" customHeight="1" x14ac:dyDescent="0.75">
      <c r="A387" s="20">
        <v>382</v>
      </c>
      <c r="B387" s="19" t="s">
        <v>706</v>
      </c>
      <c r="C387" s="19" t="s">
        <v>511</v>
      </c>
      <c r="D387" s="176">
        <v>370019002626</v>
      </c>
      <c r="E387" s="20" t="s">
        <v>20</v>
      </c>
      <c r="F387" s="20">
        <v>1.5</v>
      </c>
      <c r="G387" s="21">
        <v>4.7447999999999997</v>
      </c>
      <c r="H387" s="21">
        <f>+G387*0.005</f>
        <v>2.3723999999999999E-2</v>
      </c>
      <c r="I387" s="21">
        <v>0</v>
      </c>
      <c r="J387" s="21">
        <f>(24)*1000/1000000</f>
        <v>2.4E-2</v>
      </c>
      <c r="K387" s="21">
        <f>+G387*(8.5/100)</f>
        <v>0.403308</v>
      </c>
      <c r="L387" s="22">
        <v>0</v>
      </c>
      <c r="M387" s="21">
        <f>(404)*1000/1000000</f>
        <v>0.40400000000000003</v>
      </c>
      <c r="N387" s="21">
        <f t="shared" si="43"/>
        <v>0.42703200000000002</v>
      </c>
      <c r="O387" s="21">
        <f t="shared" si="50"/>
        <v>0.42800000000000005</v>
      </c>
      <c r="P387" s="21">
        <f t="shared" si="51"/>
        <v>-9.680000000000244E-4</v>
      </c>
      <c r="Q387" s="105" t="s">
        <v>284</v>
      </c>
      <c r="R387" s="24" t="s">
        <v>416</v>
      </c>
      <c r="S387" s="10" t="s">
        <v>282</v>
      </c>
      <c r="T387" s="10" t="s">
        <v>310</v>
      </c>
    </row>
    <row r="388" spans="1:29" ht="317.10000000000002" customHeight="1" x14ac:dyDescent="0.75">
      <c r="A388" s="394">
        <v>383</v>
      </c>
      <c r="B388" s="420" t="s">
        <v>126</v>
      </c>
      <c r="C388" s="414" t="s">
        <v>511</v>
      </c>
      <c r="D388" s="416">
        <v>31129010081</v>
      </c>
      <c r="E388" s="20" t="s">
        <v>21</v>
      </c>
      <c r="F388" s="20">
        <v>8</v>
      </c>
      <c r="G388" s="23">
        <v>17.672000000000001</v>
      </c>
      <c r="H388" s="23">
        <f>+G388*0.01</f>
        <v>0.17672000000000002</v>
      </c>
      <c r="I388" s="23">
        <v>0</v>
      </c>
      <c r="J388" s="23">
        <f>((169)*1000/1000000)</f>
        <v>0.16900000000000001</v>
      </c>
      <c r="K388" s="23">
        <f>+G388*(10/100)</f>
        <v>1.7672000000000001</v>
      </c>
      <c r="L388" s="45">
        <v>0</v>
      </c>
      <c r="M388" s="23">
        <f>((1554+135)*1000/1000000)</f>
        <v>1.6890000000000001</v>
      </c>
      <c r="N388" s="23">
        <f>+H388+K388</f>
        <v>1.9439200000000001</v>
      </c>
      <c r="O388" s="23">
        <f>+((I388+J388)+(L388+M388))</f>
        <v>1.8580000000000001</v>
      </c>
      <c r="P388" s="23">
        <f>+N388-O388</f>
        <v>8.5919999999999996E-2</v>
      </c>
      <c r="Q388" s="105" t="s">
        <v>284</v>
      </c>
      <c r="R388" s="24" t="s">
        <v>485</v>
      </c>
      <c r="S388" s="10" t="s">
        <v>282</v>
      </c>
      <c r="T388" s="10" t="s">
        <v>283</v>
      </c>
    </row>
    <row r="389" spans="1:29" ht="317.10000000000002" customHeight="1" x14ac:dyDescent="0.75">
      <c r="A389" s="395"/>
      <c r="B389" s="421"/>
      <c r="C389" s="418"/>
      <c r="D389" s="419"/>
      <c r="E389" s="47" t="s">
        <v>24</v>
      </c>
      <c r="F389" s="48">
        <v>9.8000000000000007</v>
      </c>
      <c r="G389" s="49">
        <v>14.460463000000001</v>
      </c>
      <c r="H389" s="50">
        <f>+G389*(2.75/100)</f>
        <v>0.3976627325</v>
      </c>
      <c r="I389" s="50">
        <v>0</v>
      </c>
      <c r="J389" s="50">
        <f>((380)*1000)/1000000</f>
        <v>0.38</v>
      </c>
      <c r="K389" s="50">
        <f>+G389*(11/100)</f>
        <v>1.59065093</v>
      </c>
      <c r="L389" s="51">
        <v>0</v>
      </c>
      <c r="M389" s="50">
        <f>((514+1004)*1000)/1000000</f>
        <v>1.518</v>
      </c>
      <c r="N389" s="50">
        <f t="shared" si="43"/>
        <v>1.9883136625</v>
      </c>
      <c r="O389" s="50">
        <f t="shared" si="50"/>
        <v>1.8980000000000001</v>
      </c>
      <c r="P389" s="50">
        <f t="shared" si="51"/>
        <v>9.0313662499999836E-2</v>
      </c>
      <c r="Q389" s="117" t="s">
        <v>497</v>
      </c>
      <c r="R389" s="50" t="s">
        <v>127</v>
      </c>
      <c r="S389" s="7" t="s">
        <v>282</v>
      </c>
      <c r="T389" s="7" t="s">
        <v>283</v>
      </c>
      <c r="U389" s="7"/>
      <c r="V389" s="7"/>
      <c r="W389" s="7"/>
      <c r="X389" s="7"/>
      <c r="Y389" s="7"/>
      <c r="Z389" s="7"/>
      <c r="AA389" s="7"/>
      <c r="AB389" s="7"/>
      <c r="AC389" s="7"/>
    </row>
    <row r="390" spans="1:29" ht="317.10000000000002" customHeight="1" x14ac:dyDescent="0.75">
      <c r="A390" s="396"/>
      <c r="B390" s="422"/>
      <c r="C390" s="415"/>
      <c r="D390" s="417"/>
      <c r="E390" s="53" t="s">
        <v>27</v>
      </c>
      <c r="F390" s="54">
        <v>11.4</v>
      </c>
      <c r="G390" s="55">
        <v>27.764980000000001</v>
      </c>
      <c r="H390" s="54">
        <f>+G390*(3.5/100)</f>
        <v>0.97177430000000009</v>
      </c>
      <c r="I390" s="54">
        <v>0</v>
      </c>
      <c r="J390" s="54">
        <v>0</v>
      </c>
      <c r="K390" s="54">
        <f>+G390*(11.5/100)</f>
        <v>3.1929727000000003</v>
      </c>
      <c r="L390" s="56">
        <v>0</v>
      </c>
      <c r="M390" s="54">
        <v>0</v>
      </c>
      <c r="N390" s="54">
        <f t="shared" si="43"/>
        <v>4.1647470000000002</v>
      </c>
      <c r="O390" s="54">
        <f t="shared" si="50"/>
        <v>0</v>
      </c>
      <c r="P390" s="54">
        <f t="shared" si="51"/>
        <v>4.1647470000000002</v>
      </c>
      <c r="Q390" s="118" t="s">
        <v>500</v>
      </c>
      <c r="R390" s="54" t="s">
        <v>128</v>
      </c>
      <c r="S390" s="7" t="s">
        <v>282</v>
      </c>
      <c r="T390" s="7" t="s">
        <v>283</v>
      </c>
      <c r="U390" s="7"/>
      <c r="V390" s="7"/>
      <c r="W390" s="7"/>
      <c r="X390" s="7"/>
      <c r="Y390" s="7"/>
      <c r="Z390" s="7"/>
      <c r="AA390" s="7"/>
      <c r="AB390" s="7"/>
      <c r="AC390" s="7"/>
    </row>
    <row r="391" spans="1:29" ht="317.10000000000002" customHeight="1" x14ac:dyDescent="0.75">
      <c r="A391" s="394">
        <v>386</v>
      </c>
      <c r="B391" s="414" t="s">
        <v>707</v>
      </c>
      <c r="C391" s="414" t="s">
        <v>511</v>
      </c>
      <c r="D391" s="416">
        <v>28619031580</v>
      </c>
      <c r="E391" s="20" t="s">
        <v>18</v>
      </c>
      <c r="F391" s="20">
        <v>1.5</v>
      </c>
      <c r="G391" s="44">
        <v>11.688234</v>
      </c>
      <c r="H391" s="23">
        <f>+G391*0.005</f>
        <v>5.8441170000000001E-2</v>
      </c>
      <c r="I391" s="23">
        <v>0</v>
      </c>
      <c r="J391" s="23">
        <f>(33+40)*1000/1000000</f>
        <v>7.2999999999999995E-2</v>
      </c>
      <c r="K391" s="23">
        <f>+G391*(8.5/100)</f>
        <v>0.99349989000000005</v>
      </c>
      <c r="L391" s="45">
        <v>0</v>
      </c>
      <c r="M391" s="23">
        <f>(562+676)*1000/1000000</f>
        <v>1.238</v>
      </c>
      <c r="N391" s="23">
        <f t="shared" si="43"/>
        <v>1.0519410600000001</v>
      </c>
      <c r="O391" s="23">
        <f t="shared" si="50"/>
        <v>1.3109999999999999</v>
      </c>
      <c r="P391" s="23">
        <f t="shared" si="51"/>
        <v>-0.25905893999999985</v>
      </c>
      <c r="Q391" s="105" t="s">
        <v>284</v>
      </c>
      <c r="R391" s="24" t="s">
        <v>318</v>
      </c>
      <c r="S391" s="10" t="s">
        <v>282</v>
      </c>
      <c r="T391" s="10" t="s">
        <v>316</v>
      </c>
    </row>
    <row r="392" spans="1:29" ht="393.6" customHeight="1" x14ac:dyDescent="0.75">
      <c r="A392" s="396"/>
      <c r="B392" s="415"/>
      <c r="C392" s="415"/>
      <c r="D392" s="417"/>
      <c r="E392" s="20" t="s">
        <v>20</v>
      </c>
      <c r="F392" s="20">
        <v>1.8</v>
      </c>
      <c r="G392" s="21">
        <v>14.988199</v>
      </c>
      <c r="H392" s="21">
        <f>+G392*0.005</f>
        <v>7.4940994999999996E-2</v>
      </c>
      <c r="I392" s="21">
        <v>0</v>
      </c>
      <c r="J392" s="21">
        <v>0</v>
      </c>
      <c r="K392" s="21">
        <f>+G392*(8.5/100)</f>
        <v>1.2739969150000001</v>
      </c>
      <c r="L392" s="22">
        <v>0</v>
      </c>
      <c r="M392" s="21">
        <v>0</v>
      </c>
      <c r="N392" s="21">
        <f t="shared" si="43"/>
        <v>1.3489379100000001</v>
      </c>
      <c r="O392" s="21">
        <f t="shared" si="50"/>
        <v>0</v>
      </c>
      <c r="P392" s="21">
        <f t="shared" si="51"/>
        <v>1.3489379100000001</v>
      </c>
      <c r="Q392" s="105" t="s">
        <v>19</v>
      </c>
      <c r="R392" s="24" t="s">
        <v>447</v>
      </c>
      <c r="S392" s="10" t="s">
        <v>344</v>
      </c>
    </row>
    <row r="393" spans="1:29" ht="317.10000000000002" customHeight="1" x14ac:dyDescent="0.75">
      <c r="A393" s="20">
        <v>388</v>
      </c>
      <c r="B393" s="19" t="s">
        <v>708</v>
      </c>
      <c r="C393" s="414" t="s">
        <v>511</v>
      </c>
      <c r="D393" s="416">
        <v>36249007735</v>
      </c>
      <c r="E393" s="20" t="s">
        <v>18</v>
      </c>
      <c r="F393" s="20">
        <v>1.2</v>
      </c>
      <c r="G393" s="23">
        <v>1.6491960000000001</v>
      </c>
      <c r="H393" s="23">
        <f>+G393*0.005</f>
        <v>8.24598E-3</v>
      </c>
      <c r="I393" s="23">
        <v>0</v>
      </c>
      <c r="J393" s="23">
        <v>3.0000000000000001E-3</v>
      </c>
      <c r="K393" s="23">
        <f>+G393*(8.5/100)</f>
        <v>0.14018166000000001</v>
      </c>
      <c r="L393" s="45">
        <v>0</v>
      </c>
      <c r="M393" s="23">
        <v>5.5E-2</v>
      </c>
      <c r="N393" s="23">
        <f t="shared" ref="N393:N455" si="54">+H393+K393</f>
        <v>0.14842764000000003</v>
      </c>
      <c r="O393" s="23">
        <f t="shared" si="50"/>
        <v>5.8000000000000003E-2</v>
      </c>
      <c r="P393" s="23">
        <f t="shared" si="51"/>
        <v>9.0427640000000031E-2</v>
      </c>
      <c r="Q393" s="105" t="s">
        <v>284</v>
      </c>
      <c r="R393" s="24" t="s">
        <v>304</v>
      </c>
      <c r="S393" s="10" t="s">
        <v>282</v>
      </c>
      <c r="T393" s="10" t="s">
        <v>283</v>
      </c>
    </row>
    <row r="394" spans="1:29" ht="317.10000000000002" customHeight="1" x14ac:dyDescent="0.75">
      <c r="A394" s="20">
        <v>389</v>
      </c>
      <c r="B394" s="19"/>
      <c r="C394" s="415"/>
      <c r="D394" s="417"/>
      <c r="E394" s="20" t="s">
        <v>20</v>
      </c>
      <c r="F394" s="20">
        <v>1.2</v>
      </c>
      <c r="G394" s="21">
        <v>11.423163000000001</v>
      </c>
      <c r="H394" s="21">
        <f>+G394*0.005</f>
        <v>5.7115815000000007E-2</v>
      </c>
      <c r="I394" s="21">
        <v>0</v>
      </c>
      <c r="J394" s="21">
        <f>((28+10+9+5)*1000)/1000000</f>
        <v>5.1999999999999998E-2</v>
      </c>
      <c r="K394" s="21">
        <f>+G394*(8.5/100)</f>
        <v>0.97096885500000008</v>
      </c>
      <c r="L394" s="22">
        <v>0</v>
      </c>
      <c r="M394" s="21">
        <f>((468+150+254+72)*1000)/1000000</f>
        <v>0.94399999999999995</v>
      </c>
      <c r="N394" s="21">
        <f t="shared" si="54"/>
        <v>1.0280846700000001</v>
      </c>
      <c r="O394" s="21">
        <f t="shared" si="50"/>
        <v>0.996</v>
      </c>
      <c r="P394" s="21">
        <f t="shared" si="51"/>
        <v>3.2084670000000148E-2</v>
      </c>
      <c r="Q394" s="105" t="s">
        <v>284</v>
      </c>
      <c r="R394" s="24" t="s">
        <v>366</v>
      </c>
      <c r="S394" s="10" t="s">
        <v>279</v>
      </c>
      <c r="T394" s="10" t="s">
        <v>283</v>
      </c>
    </row>
    <row r="395" spans="1:29" ht="317.10000000000002" customHeight="1" x14ac:dyDescent="0.75">
      <c r="A395" s="20">
        <v>390</v>
      </c>
      <c r="B395" s="19" t="s">
        <v>709</v>
      </c>
      <c r="C395" s="19" t="s">
        <v>511</v>
      </c>
      <c r="D395" s="176">
        <v>293599084700</v>
      </c>
      <c r="E395" s="20" t="s">
        <v>18</v>
      </c>
      <c r="F395" s="20">
        <v>2</v>
      </c>
      <c r="G395" s="23">
        <v>1.6454230000000001</v>
      </c>
      <c r="H395" s="23">
        <f>+G395*0.005</f>
        <v>8.2271150000000001E-3</v>
      </c>
      <c r="I395" s="23">
        <v>0</v>
      </c>
      <c r="J395" s="23">
        <v>0</v>
      </c>
      <c r="K395" s="23">
        <f>+G395*(8.5/100)</f>
        <v>0.13986095500000001</v>
      </c>
      <c r="L395" s="45">
        <v>0</v>
      </c>
      <c r="M395" s="23">
        <v>0</v>
      </c>
      <c r="N395" s="23">
        <f t="shared" si="54"/>
        <v>0.14808807000000002</v>
      </c>
      <c r="O395" s="23">
        <f t="shared" si="50"/>
        <v>0</v>
      </c>
      <c r="P395" s="23">
        <f t="shared" si="51"/>
        <v>0.14808807000000002</v>
      </c>
      <c r="Q395" s="105" t="s">
        <v>19</v>
      </c>
      <c r="R395" s="24" t="s">
        <v>346</v>
      </c>
      <c r="S395" s="10" t="s">
        <v>344</v>
      </c>
    </row>
    <row r="396" spans="1:29" ht="317.10000000000002" customHeight="1" x14ac:dyDescent="0.75">
      <c r="A396" s="20">
        <v>392</v>
      </c>
      <c r="B396" s="19" t="s">
        <v>711</v>
      </c>
      <c r="C396" s="19" t="s">
        <v>511</v>
      </c>
      <c r="D396" s="176">
        <v>275269009534</v>
      </c>
      <c r="E396" s="20" t="s">
        <v>20</v>
      </c>
      <c r="F396" s="20">
        <v>3.0249999999999999</v>
      </c>
      <c r="G396" s="21">
        <v>4.7260799999999996</v>
      </c>
      <c r="H396" s="21">
        <f t="shared" ref="H396:H403" si="55">+G396*0.005</f>
        <v>2.3630399999999999E-2</v>
      </c>
      <c r="I396" s="21">
        <v>0</v>
      </c>
      <c r="J396" s="21">
        <v>2.1000000000000001E-2</v>
      </c>
      <c r="K396" s="21">
        <f t="shared" ref="K396:K403" si="56">+G396*(8.5/100)</f>
        <v>0.40171679999999999</v>
      </c>
      <c r="L396" s="22">
        <v>0</v>
      </c>
      <c r="M396" s="21">
        <v>0.36199999999999999</v>
      </c>
      <c r="N396" s="21">
        <f t="shared" si="54"/>
        <v>0.42534719999999998</v>
      </c>
      <c r="O396" s="21">
        <f t="shared" si="50"/>
        <v>0.38300000000000001</v>
      </c>
      <c r="P396" s="21">
        <f t="shared" si="51"/>
        <v>4.2347199999999974E-2</v>
      </c>
      <c r="Q396" s="105" t="s">
        <v>284</v>
      </c>
      <c r="R396" s="24" t="s">
        <v>367</v>
      </c>
      <c r="S396" s="10" t="s">
        <v>282</v>
      </c>
      <c r="T396" s="10" t="s">
        <v>283</v>
      </c>
    </row>
    <row r="397" spans="1:29" ht="317.10000000000002" customHeight="1" x14ac:dyDescent="0.75">
      <c r="A397" s="20">
        <v>393</v>
      </c>
      <c r="B397" s="19" t="s">
        <v>712</v>
      </c>
      <c r="C397" s="19" t="s">
        <v>511</v>
      </c>
      <c r="D397" s="176">
        <v>159027530</v>
      </c>
      <c r="E397" s="20" t="s">
        <v>20</v>
      </c>
      <c r="F397" s="20">
        <v>3</v>
      </c>
      <c r="G397" s="21">
        <v>19.152000000000001</v>
      </c>
      <c r="H397" s="21">
        <f t="shared" si="55"/>
        <v>9.5760000000000012E-2</v>
      </c>
      <c r="I397" s="21">
        <v>0</v>
      </c>
      <c r="J397" s="21">
        <v>0</v>
      </c>
      <c r="K397" s="21">
        <f t="shared" si="56"/>
        <v>1.6279200000000003</v>
      </c>
      <c r="L397" s="22">
        <v>0</v>
      </c>
      <c r="M397" s="21">
        <v>0</v>
      </c>
      <c r="N397" s="21">
        <f t="shared" si="54"/>
        <v>1.7236800000000003</v>
      </c>
      <c r="O397" s="21">
        <f t="shared" si="50"/>
        <v>0</v>
      </c>
      <c r="P397" s="21">
        <f t="shared" si="51"/>
        <v>1.7236800000000003</v>
      </c>
      <c r="Q397" s="105" t="s">
        <v>19</v>
      </c>
      <c r="R397" s="24" t="s">
        <v>449</v>
      </c>
      <c r="S397" s="10" t="s">
        <v>344</v>
      </c>
    </row>
    <row r="398" spans="1:29" ht="317.10000000000002" customHeight="1" x14ac:dyDescent="0.75">
      <c r="A398" s="20">
        <v>394</v>
      </c>
      <c r="B398" s="19" t="s">
        <v>713</v>
      </c>
      <c r="C398" s="19" t="s">
        <v>511</v>
      </c>
      <c r="D398" s="176">
        <v>299006875</v>
      </c>
      <c r="E398" s="20" t="s">
        <v>20</v>
      </c>
      <c r="F398" s="20">
        <v>1</v>
      </c>
      <c r="G398" s="21">
        <v>6.7157280000000004</v>
      </c>
      <c r="H398" s="21">
        <f t="shared" si="55"/>
        <v>3.357864E-2</v>
      </c>
      <c r="I398" s="21">
        <v>0</v>
      </c>
      <c r="J398" s="21">
        <f>(29)*1000/1000000</f>
        <v>2.9000000000000001E-2</v>
      </c>
      <c r="K398" s="21">
        <f t="shared" si="56"/>
        <v>0.5708368800000001</v>
      </c>
      <c r="L398" s="22">
        <v>0</v>
      </c>
      <c r="M398" s="21">
        <f>(492)*1000/1000000</f>
        <v>0.49199999999999999</v>
      </c>
      <c r="N398" s="21">
        <f t="shared" si="54"/>
        <v>0.60441552000000009</v>
      </c>
      <c r="O398" s="21">
        <f t="shared" si="50"/>
        <v>0.52100000000000002</v>
      </c>
      <c r="P398" s="21">
        <f t="shared" si="51"/>
        <v>8.3415520000000076E-2</v>
      </c>
      <c r="Q398" s="105" t="s">
        <v>284</v>
      </c>
      <c r="R398" s="24" t="s">
        <v>428</v>
      </c>
      <c r="S398" s="10" t="s">
        <v>282</v>
      </c>
      <c r="T398" s="10" t="s">
        <v>283</v>
      </c>
    </row>
    <row r="399" spans="1:29" ht="317.10000000000002" customHeight="1" x14ac:dyDescent="0.75">
      <c r="A399" s="20">
        <v>395</v>
      </c>
      <c r="B399" s="414" t="s">
        <v>714</v>
      </c>
      <c r="C399" s="414" t="s">
        <v>511</v>
      </c>
      <c r="D399" s="416">
        <v>41019019444</v>
      </c>
      <c r="E399" s="20" t="s">
        <v>18</v>
      </c>
      <c r="F399" s="20">
        <v>3</v>
      </c>
      <c r="G399" s="23">
        <v>24.113752000000002</v>
      </c>
      <c r="H399" s="23">
        <f t="shared" si="55"/>
        <v>0.12056876000000001</v>
      </c>
      <c r="I399" s="23">
        <v>0</v>
      </c>
      <c r="J399" s="23">
        <v>0</v>
      </c>
      <c r="K399" s="23">
        <f t="shared" si="56"/>
        <v>2.0496689200000002</v>
      </c>
      <c r="L399" s="45">
        <v>0</v>
      </c>
      <c r="M399" s="23">
        <v>0</v>
      </c>
      <c r="N399" s="23">
        <f t="shared" si="54"/>
        <v>2.1702376800000001</v>
      </c>
      <c r="O399" s="23">
        <f t="shared" si="50"/>
        <v>0</v>
      </c>
      <c r="P399" s="23">
        <f t="shared" si="51"/>
        <v>2.1702376800000001</v>
      </c>
      <c r="Q399" s="105" t="s">
        <v>19</v>
      </c>
      <c r="R399" s="24" t="s">
        <v>346</v>
      </c>
      <c r="S399" s="10" t="s">
        <v>344</v>
      </c>
    </row>
    <row r="400" spans="1:29" ht="317.10000000000002" customHeight="1" x14ac:dyDescent="0.75">
      <c r="A400" s="20"/>
      <c r="B400" s="415"/>
      <c r="C400" s="415"/>
      <c r="D400" s="417"/>
      <c r="E400" s="20" t="s">
        <v>20</v>
      </c>
      <c r="F400" s="20">
        <v>3</v>
      </c>
      <c r="G400" s="21">
        <v>30.326239999999999</v>
      </c>
      <c r="H400" s="21">
        <f t="shared" si="55"/>
        <v>0.15163119999999999</v>
      </c>
      <c r="I400" s="21">
        <v>0</v>
      </c>
      <c r="J400" s="21">
        <v>0</v>
      </c>
      <c r="K400" s="21">
        <f t="shared" si="56"/>
        <v>2.5777304000000001</v>
      </c>
      <c r="L400" s="22">
        <v>0</v>
      </c>
      <c r="M400" s="21">
        <v>0</v>
      </c>
      <c r="N400" s="21">
        <f t="shared" si="54"/>
        <v>2.7293616000000003</v>
      </c>
      <c r="O400" s="21">
        <f t="shared" si="50"/>
        <v>0</v>
      </c>
      <c r="P400" s="21">
        <f t="shared" si="51"/>
        <v>2.7293616000000003</v>
      </c>
      <c r="Q400" s="105" t="s">
        <v>19</v>
      </c>
      <c r="R400" s="24" t="s">
        <v>449</v>
      </c>
      <c r="S400" s="10" t="s">
        <v>344</v>
      </c>
    </row>
    <row r="401" spans="1:29" ht="317.10000000000002" customHeight="1" x14ac:dyDescent="0.75">
      <c r="A401" s="394">
        <v>397</v>
      </c>
      <c r="B401" s="414" t="s">
        <v>715</v>
      </c>
      <c r="C401" s="414" t="s">
        <v>511</v>
      </c>
      <c r="D401" s="416">
        <v>186849005967</v>
      </c>
      <c r="E401" s="20" t="s">
        <v>18</v>
      </c>
      <c r="F401" s="20">
        <v>3</v>
      </c>
      <c r="G401" s="23">
        <v>28.132496</v>
      </c>
      <c r="H401" s="23">
        <f t="shared" si="55"/>
        <v>0.14066248000000001</v>
      </c>
      <c r="I401" s="23">
        <v>0</v>
      </c>
      <c r="J401" s="23">
        <f>(10+12+10+22+22+10+12)*1000/1000000</f>
        <v>9.8000000000000004E-2</v>
      </c>
      <c r="K401" s="23">
        <f t="shared" si="56"/>
        <v>2.3912621600000001</v>
      </c>
      <c r="L401" s="45">
        <v>0</v>
      </c>
      <c r="M401" s="23">
        <f>(183+190+180+372+366+184+190)*1000/1000000</f>
        <v>1.665</v>
      </c>
      <c r="N401" s="23">
        <f t="shared" si="54"/>
        <v>2.5319246400000002</v>
      </c>
      <c r="O401" s="23">
        <f t="shared" si="50"/>
        <v>1.7630000000000001</v>
      </c>
      <c r="P401" s="23">
        <f t="shared" si="51"/>
        <v>0.76892464000000005</v>
      </c>
      <c r="Q401" s="105" t="s">
        <v>277</v>
      </c>
      <c r="R401" s="24" t="s">
        <v>281</v>
      </c>
      <c r="S401" s="30" t="s">
        <v>282</v>
      </c>
      <c r="T401" s="30" t="s">
        <v>283</v>
      </c>
      <c r="U401" s="30"/>
      <c r="V401" s="30"/>
      <c r="W401" s="30"/>
      <c r="X401" s="30"/>
      <c r="Y401" s="30"/>
      <c r="Z401" s="30"/>
      <c r="AA401" s="30"/>
      <c r="AB401" s="30"/>
      <c r="AC401" s="30"/>
    </row>
    <row r="402" spans="1:29" ht="317.10000000000002" customHeight="1" x14ac:dyDescent="0.75">
      <c r="A402" s="396"/>
      <c r="B402" s="415"/>
      <c r="C402" s="415"/>
      <c r="D402" s="417"/>
      <c r="E402" s="20" t="s">
        <v>20</v>
      </c>
      <c r="F402" s="20">
        <v>3.5</v>
      </c>
      <c r="G402" s="21">
        <v>33.063423999999998</v>
      </c>
      <c r="H402" s="21">
        <f t="shared" si="55"/>
        <v>0.16531711999999998</v>
      </c>
      <c r="I402" s="21">
        <v>0</v>
      </c>
      <c r="J402" s="21">
        <f>((50+92+16)*1000)/1000000</f>
        <v>0.158</v>
      </c>
      <c r="K402" s="21">
        <f t="shared" si="56"/>
        <v>2.8103910399999998</v>
      </c>
      <c r="L402" s="22">
        <v>0</v>
      </c>
      <c r="M402" s="21">
        <f>((700+1724+249)*1000)/1000000</f>
        <v>2.673</v>
      </c>
      <c r="N402" s="21">
        <f t="shared" si="54"/>
        <v>2.9757081599999999</v>
      </c>
      <c r="O402" s="21">
        <f t="shared" si="50"/>
        <v>2.831</v>
      </c>
      <c r="P402" s="21">
        <f t="shared" si="51"/>
        <v>0.14470815999999997</v>
      </c>
      <c r="Q402" s="105" t="s">
        <v>19</v>
      </c>
      <c r="R402" s="24" t="s">
        <v>130</v>
      </c>
      <c r="S402" s="10" t="s">
        <v>282</v>
      </c>
      <c r="T402" s="10" t="s">
        <v>283</v>
      </c>
    </row>
    <row r="403" spans="1:29" ht="317.10000000000002" customHeight="1" x14ac:dyDescent="0.75">
      <c r="A403" s="20">
        <v>399</v>
      </c>
      <c r="B403" s="414" t="s">
        <v>716</v>
      </c>
      <c r="C403" s="414" t="s">
        <v>511</v>
      </c>
      <c r="D403" s="416">
        <v>170019036990</v>
      </c>
      <c r="E403" s="20" t="s">
        <v>20</v>
      </c>
      <c r="F403" s="20">
        <v>15</v>
      </c>
      <c r="G403" s="21">
        <v>17.261060000000001</v>
      </c>
      <c r="H403" s="21">
        <f t="shared" si="55"/>
        <v>8.6305300000000001E-2</v>
      </c>
      <c r="I403" s="21">
        <v>0</v>
      </c>
      <c r="J403" s="21">
        <f>(83)*1000/1000000</f>
        <v>8.3000000000000004E-2</v>
      </c>
      <c r="K403" s="21">
        <f t="shared" si="56"/>
        <v>1.4671901000000001</v>
      </c>
      <c r="L403" s="22">
        <v>0</v>
      </c>
      <c r="M403" s="21">
        <f>(1411)*1000/1000000</f>
        <v>1.411</v>
      </c>
      <c r="N403" s="21">
        <f t="shared" si="54"/>
        <v>1.5534954000000001</v>
      </c>
      <c r="O403" s="21">
        <f t="shared" si="50"/>
        <v>1.494</v>
      </c>
      <c r="P403" s="21">
        <f t="shared" si="51"/>
        <v>5.9495400000000087E-2</v>
      </c>
      <c r="Q403" s="105" t="s">
        <v>284</v>
      </c>
      <c r="R403" s="24" t="s">
        <v>394</v>
      </c>
      <c r="S403" s="10" t="s">
        <v>282</v>
      </c>
      <c r="T403" s="10" t="s">
        <v>283</v>
      </c>
    </row>
    <row r="404" spans="1:29" ht="317.10000000000002" customHeight="1" x14ac:dyDescent="0.75">
      <c r="A404" s="20">
        <v>400</v>
      </c>
      <c r="B404" s="418"/>
      <c r="C404" s="418"/>
      <c r="D404" s="419"/>
      <c r="E404" s="20" t="s">
        <v>21</v>
      </c>
      <c r="F404" s="20">
        <v>10.5</v>
      </c>
      <c r="G404" s="23">
        <v>70.254165</v>
      </c>
      <c r="H404" s="23">
        <f>+G404*0.01</f>
        <v>0.70254165000000002</v>
      </c>
      <c r="I404" s="23">
        <v>0</v>
      </c>
      <c r="J404" s="23">
        <f>((64+176+125)*1000)/1000000</f>
        <v>0.36499999999999999</v>
      </c>
      <c r="K404" s="23">
        <f>+G404*(10/100)</f>
        <v>7.0254165000000004</v>
      </c>
      <c r="L404" s="45">
        <v>0</v>
      </c>
      <c r="M404" s="23">
        <f>((640+1775+1244)*1000)/1000000</f>
        <v>3.6589999999999998</v>
      </c>
      <c r="N404" s="23">
        <f t="shared" si="54"/>
        <v>7.7279581500000001</v>
      </c>
      <c r="O404" s="23">
        <f t="shared" si="50"/>
        <v>4.024</v>
      </c>
      <c r="P404" s="23">
        <f t="shared" si="51"/>
        <v>3.7039581500000001</v>
      </c>
      <c r="Q404" s="105" t="s">
        <v>284</v>
      </c>
      <c r="R404" s="24" t="s">
        <v>131</v>
      </c>
      <c r="S404" s="10" t="s">
        <v>282</v>
      </c>
      <c r="T404" s="10" t="s">
        <v>283</v>
      </c>
    </row>
    <row r="405" spans="1:29" ht="317.10000000000002" customHeight="1" x14ac:dyDescent="0.75">
      <c r="A405" s="20">
        <v>401</v>
      </c>
      <c r="B405" s="415"/>
      <c r="C405" s="415"/>
      <c r="D405" s="417"/>
      <c r="E405" s="58" t="s">
        <v>22</v>
      </c>
      <c r="F405" s="59">
        <v>10.5</v>
      </c>
      <c r="G405" s="60">
        <f>23322423/1000000</f>
        <v>23.322423000000001</v>
      </c>
      <c r="H405" s="60">
        <f>+G405*0.02</f>
        <v>0.46644846000000001</v>
      </c>
      <c r="I405" s="60">
        <v>0</v>
      </c>
      <c r="J405" s="60">
        <f>(448*1000)/1000000</f>
        <v>0.44800000000000001</v>
      </c>
      <c r="K405" s="60">
        <f>+G405*(10.5/100)</f>
        <v>2.448854415</v>
      </c>
      <c r="L405" s="61">
        <v>0</v>
      </c>
      <c r="M405" s="60">
        <f>((281+810+1258)*1000)/1000000</f>
        <v>2.3490000000000002</v>
      </c>
      <c r="N405" s="60">
        <f t="shared" si="54"/>
        <v>2.9153028750000001</v>
      </c>
      <c r="O405" s="60">
        <f t="shared" si="50"/>
        <v>2.7970000000000002</v>
      </c>
      <c r="P405" s="60">
        <f t="shared" si="51"/>
        <v>0.11830287499999992</v>
      </c>
      <c r="Q405" s="119" t="s">
        <v>19</v>
      </c>
      <c r="R405" s="62" t="s">
        <v>132</v>
      </c>
      <c r="S405" s="7" t="s">
        <v>282</v>
      </c>
      <c r="T405" s="7" t="s">
        <v>283</v>
      </c>
      <c r="U405" s="7"/>
      <c r="V405" s="7"/>
      <c r="W405" s="7"/>
      <c r="X405" s="7"/>
      <c r="Y405" s="7"/>
      <c r="Z405" s="7"/>
      <c r="AA405" s="7"/>
      <c r="AB405" s="7"/>
      <c r="AC405" s="7"/>
    </row>
    <row r="406" spans="1:29" ht="317.10000000000002" customHeight="1" x14ac:dyDescent="0.75">
      <c r="A406" s="20">
        <v>402</v>
      </c>
      <c r="B406" s="19" t="s">
        <v>717</v>
      </c>
      <c r="C406" s="19" t="s">
        <v>511</v>
      </c>
      <c r="D406" s="176">
        <v>340139051690</v>
      </c>
      <c r="E406" s="20" t="s">
        <v>20</v>
      </c>
      <c r="F406" s="20">
        <v>1.45</v>
      </c>
      <c r="G406" s="21">
        <v>1.5984</v>
      </c>
      <c r="H406" s="21">
        <f>+G406*0.005</f>
        <v>7.9920000000000008E-3</v>
      </c>
      <c r="I406" s="21">
        <v>0</v>
      </c>
      <c r="J406" s="21">
        <f>((7*1000)/1000000)</f>
        <v>7.0000000000000001E-3</v>
      </c>
      <c r="K406" s="21">
        <f>+G406*(8.5/100)</f>
        <v>0.13586400000000001</v>
      </c>
      <c r="L406" s="22">
        <v>0</v>
      </c>
      <c r="M406" s="21">
        <f>((122*1000)/1000000)</f>
        <v>0.122</v>
      </c>
      <c r="N406" s="21">
        <f t="shared" si="54"/>
        <v>0.14385600000000001</v>
      </c>
      <c r="O406" s="21">
        <f t="shared" si="50"/>
        <v>0.129</v>
      </c>
      <c r="P406" s="21">
        <f t="shared" si="51"/>
        <v>1.4856000000000008E-2</v>
      </c>
      <c r="Q406" s="105" t="s">
        <v>19</v>
      </c>
      <c r="R406" s="24" t="s">
        <v>133</v>
      </c>
      <c r="S406" s="10" t="s">
        <v>282</v>
      </c>
      <c r="T406" s="10" t="s">
        <v>283</v>
      </c>
    </row>
    <row r="407" spans="1:29" ht="317.10000000000002" customHeight="1" x14ac:dyDescent="0.75">
      <c r="A407" s="20">
        <v>403</v>
      </c>
      <c r="B407" s="19" t="s">
        <v>718</v>
      </c>
      <c r="C407" s="19" t="s">
        <v>511</v>
      </c>
      <c r="D407" s="176">
        <v>340019008687</v>
      </c>
      <c r="E407" s="20" t="s">
        <v>20</v>
      </c>
      <c r="F407" s="20">
        <v>2.8</v>
      </c>
      <c r="G407" s="21">
        <v>2.5881599999999998</v>
      </c>
      <c r="H407" s="21">
        <f>+G407*0.005</f>
        <v>1.2940799999999999E-2</v>
      </c>
      <c r="I407" s="21">
        <v>0</v>
      </c>
      <c r="J407" s="21">
        <f>((12*1000)/1000000)</f>
        <v>1.2E-2</v>
      </c>
      <c r="K407" s="21">
        <f>+G407*(8.5/100)</f>
        <v>0.21999360000000001</v>
      </c>
      <c r="L407" s="22">
        <v>0</v>
      </c>
      <c r="M407" s="21">
        <f>((198*1000)/1000000)</f>
        <v>0.19800000000000001</v>
      </c>
      <c r="N407" s="21">
        <f t="shared" si="54"/>
        <v>0.23293440000000001</v>
      </c>
      <c r="O407" s="21">
        <f t="shared" si="50"/>
        <v>0.21000000000000002</v>
      </c>
      <c r="P407" s="21">
        <f t="shared" si="51"/>
        <v>2.2934399999999994E-2</v>
      </c>
      <c r="Q407" s="105" t="s">
        <v>284</v>
      </c>
      <c r="R407" s="24" t="s">
        <v>383</v>
      </c>
      <c r="S407" s="10" t="s">
        <v>282</v>
      </c>
      <c r="T407" s="10" t="s">
        <v>283</v>
      </c>
    </row>
    <row r="408" spans="1:29" ht="317.10000000000002" customHeight="1" x14ac:dyDescent="0.75">
      <c r="A408" s="20">
        <v>404</v>
      </c>
      <c r="B408" s="19" t="s">
        <v>719</v>
      </c>
      <c r="C408" s="19" t="s">
        <v>511</v>
      </c>
      <c r="D408" s="176">
        <v>331549004331</v>
      </c>
      <c r="E408" s="20" t="s">
        <v>20</v>
      </c>
      <c r="F408" s="20">
        <v>1.5</v>
      </c>
      <c r="G408" s="21">
        <v>6.725244</v>
      </c>
      <c r="H408" s="21">
        <f>+G408*0.005</f>
        <v>3.3626219999999998E-2</v>
      </c>
      <c r="I408" s="21">
        <v>0</v>
      </c>
      <c r="J408" s="21">
        <f>(((60)*1000)/1000000)</f>
        <v>0.06</v>
      </c>
      <c r="K408" s="21">
        <f>+G408*(8.5/100)</f>
        <v>0.57164574000000001</v>
      </c>
      <c r="L408" s="22">
        <v>0</v>
      </c>
      <c r="M408" s="21">
        <f>(((417+96+60)*1000)/1000000)</f>
        <v>0.57299999999999995</v>
      </c>
      <c r="N408" s="21">
        <f t="shared" si="54"/>
        <v>0.60527196000000005</v>
      </c>
      <c r="O408" s="21">
        <f t="shared" si="50"/>
        <v>0.63300000000000001</v>
      </c>
      <c r="P408" s="21">
        <f t="shared" si="51"/>
        <v>-2.7728039999999954E-2</v>
      </c>
      <c r="Q408" s="105" t="s">
        <v>19</v>
      </c>
      <c r="R408" s="24" t="s">
        <v>97</v>
      </c>
      <c r="S408" s="10" t="s">
        <v>282</v>
      </c>
      <c r="T408" s="10" t="s">
        <v>310</v>
      </c>
    </row>
    <row r="409" spans="1:29" ht="408" customHeight="1" x14ac:dyDescent="0.75">
      <c r="A409" s="20">
        <v>405</v>
      </c>
      <c r="B409" s="19" t="s">
        <v>720</v>
      </c>
      <c r="C409" s="19" t="s">
        <v>511</v>
      </c>
      <c r="D409" s="176">
        <v>181029042400</v>
      </c>
      <c r="E409" s="20" t="s">
        <v>21</v>
      </c>
      <c r="F409" s="20">
        <v>6</v>
      </c>
      <c r="G409" s="20">
        <v>7.896128</v>
      </c>
      <c r="H409" s="23">
        <f>+G409*0.01</f>
        <v>7.8961280000000009E-2</v>
      </c>
      <c r="I409" s="23">
        <v>0</v>
      </c>
      <c r="J409" s="23">
        <v>0</v>
      </c>
      <c r="K409" s="23">
        <f>+G409*(10/100)</f>
        <v>0.7896128</v>
      </c>
      <c r="L409" s="45">
        <v>0</v>
      </c>
      <c r="M409" s="23">
        <v>0</v>
      </c>
      <c r="N409" s="23">
        <f t="shared" si="54"/>
        <v>0.86857408000000003</v>
      </c>
      <c r="O409" s="23">
        <f t="shared" si="50"/>
        <v>0</v>
      </c>
      <c r="P409" s="23">
        <f t="shared" si="51"/>
        <v>0.86857408000000003</v>
      </c>
      <c r="Q409" s="105" t="s">
        <v>19</v>
      </c>
      <c r="R409" s="24" t="s">
        <v>491</v>
      </c>
      <c r="S409" s="10" t="s">
        <v>344</v>
      </c>
    </row>
    <row r="410" spans="1:29" ht="317.10000000000002" customHeight="1" x14ac:dyDescent="0.75">
      <c r="A410" s="20">
        <v>406</v>
      </c>
      <c r="B410" s="414" t="s">
        <v>721</v>
      </c>
      <c r="C410" s="414" t="s">
        <v>511</v>
      </c>
      <c r="D410" s="416">
        <v>199000535</v>
      </c>
      <c r="E410" s="20" t="s">
        <v>18</v>
      </c>
      <c r="F410" s="20">
        <v>5</v>
      </c>
      <c r="G410" s="44">
        <v>11.558130999999999</v>
      </c>
      <c r="H410" s="23">
        <f>+G410*0.005</f>
        <v>5.7790654999999996E-2</v>
      </c>
      <c r="I410" s="23">
        <v>0</v>
      </c>
      <c r="J410" s="23">
        <v>5.7000000000000002E-2</v>
      </c>
      <c r="K410" s="23">
        <f>+G410*(8.5/100)</f>
        <v>0.98244113500000008</v>
      </c>
      <c r="L410" s="45">
        <v>0</v>
      </c>
      <c r="M410" s="23">
        <v>0.93799999999999994</v>
      </c>
      <c r="N410" s="23">
        <f t="shared" si="54"/>
        <v>1.04023179</v>
      </c>
      <c r="O410" s="23">
        <f t="shared" si="50"/>
        <v>0.995</v>
      </c>
      <c r="P410" s="23">
        <f t="shared" si="51"/>
        <v>4.5231789999999994E-2</v>
      </c>
      <c r="Q410" s="105" t="s">
        <v>284</v>
      </c>
      <c r="R410" s="24" t="s">
        <v>328</v>
      </c>
      <c r="S410" s="10" t="s">
        <v>282</v>
      </c>
      <c r="T410" s="10" t="s">
        <v>283</v>
      </c>
    </row>
    <row r="411" spans="1:29" ht="317.10000000000002" customHeight="1" x14ac:dyDescent="0.75">
      <c r="A411" s="20">
        <v>407</v>
      </c>
      <c r="B411" s="418"/>
      <c r="C411" s="418"/>
      <c r="D411" s="419"/>
      <c r="E411" s="20" t="s">
        <v>20</v>
      </c>
      <c r="F411" s="20">
        <v>25</v>
      </c>
      <c r="G411" s="21">
        <v>12.18708</v>
      </c>
      <c r="H411" s="21">
        <f>+G411*0.005</f>
        <v>6.0935400000000001E-2</v>
      </c>
      <c r="I411" s="21">
        <v>0</v>
      </c>
      <c r="J411" s="21">
        <v>5.8999999999999997E-2</v>
      </c>
      <c r="K411" s="21">
        <f>+G411*(8.5/100)</f>
        <v>1.0359018</v>
      </c>
      <c r="L411" s="22">
        <v>0</v>
      </c>
      <c r="M411" s="21">
        <v>0.99399999999999999</v>
      </c>
      <c r="N411" s="21">
        <f t="shared" si="54"/>
        <v>1.0968372</v>
      </c>
      <c r="O411" s="21">
        <f t="shared" si="50"/>
        <v>1.0529999999999999</v>
      </c>
      <c r="P411" s="21">
        <f t="shared" si="51"/>
        <v>4.3837200000000021E-2</v>
      </c>
      <c r="Q411" s="105" t="s">
        <v>284</v>
      </c>
      <c r="R411" s="24" t="s">
        <v>367</v>
      </c>
      <c r="S411" s="10" t="s">
        <v>282</v>
      </c>
      <c r="T411" s="10" t="s">
        <v>283</v>
      </c>
    </row>
    <row r="412" spans="1:29" ht="317.10000000000002" customHeight="1" x14ac:dyDescent="0.75">
      <c r="A412" s="20">
        <v>408</v>
      </c>
      <c r="B412" s="418"/>
      <c r="C412" s="418"/>
      <c r="D412" s="419"/>
      <c r="E412" s="20" t="s">
        <v>21</v>
      </c>
      <c r="F412" s="20">
        <v>5</v>
      </c>
      <c r="G412" s="23">
        <v>10.409758999999999</v>
      </c>
      <c r="H412" s="23">
        <f>+G412*0.01</f>
        <v>0.10409758999999999</v>
      </c>
      <c r="I412" s="23">
        <v>0</v>
      </c>
      <c r="J412" s="23">
        <f>((47+62)*1000)/1000000</f>
        <v>0.109</v>
      </c>
      <c r="K412" s="23">
        <f>+G412*(10/100)</f>
        <v>1.0409759000000001</v>
      </c>
      <c r="L412" s="45">
        <v>108.384</v>
      </c>
      <c r="M412" s="23">
        <f>((612+355)*1000)/1000000</f>
        <v>0.96699999999999997</v>
      </c>
      <c r="N412" s="23">
        <f t="shared" si="54"/>
        <v>1.1450734900000001</v>
      </c>
      <c r="O412" s="23">
        <f t="shared" si="50"/>
        <v>109.46</v>
      </c>
      <c r="P412" s="23">
        <f t="shared" si="51"/>
        <v>-108.31492650999999</v>
      </c>
      <c r="Q412" s="105" t="s">
        <v>284</v>
      </c>
      <c r="R412" s="24" t="s">
        <v>134</v>
      </c>
      <c r="S412" s="10" t="s">
        <v>282</v>
      </c>
      <c r="T412" s="10" t="s">
        <v>310</v>
      </c>
    </row>
    <row r="413" spans="1:29" ht="317.10000000000002" customHeight="1" x14ac:dyDescent="0.75">
      <c r="A413" s="20">
        <v>409</v>
      </c>
      <c r="B413" s="415"/>
      <c r="C413" s="415"/>
      <c r="D413" s="417"/>
      <c r="E413" s="58" t="s">
        <v>22</v>
      </c>
      <c r="F413" s="59">
        <v>5</v>
      </c>
      <c r="G413" s="60">
        <f>2928320/1000000</f>
        <v>2.9283199999999998</v>
      </c>
      <c r="H413" s="58">
        <f>+G413*0.02</f>
        <v>5.8566399999999998E-2</v>
      </c>
      <c r="I413" s="60">
        <v>0</v>
      </c>
      <c r="J413" s="60">
        <v>0</v>
      </c>
      <c r="K413" s="58">
        <f>+G413*(10.5/100)</f>
        <v>0.30747359999999996</v>
      </c>
      <c r="L413" s="60">
        <v>0</v>
      </c>
      <c r="M413" s="60">
        <f>((296)*1000)/1000000</f>
        <v>0.29599999999999999</v>
      </c>
      <c r="N413" s="58">
        <f t="shared" si="54"/>
        <v>0.36603999999999998</v>
      </c>
      <c r="O413" s="58">
        <f t="shared" si="50"/>
        <v>0.29599999999999999</v>
      </c>
      <c r="P413" s="58">
        <f t="shared" si="51"/>
        <v>7.0039999999999991E-2</v>
      </c>
      <c r="Q413" s="119" t="s">
        <v>284</v>
      </c>
      <c r="R413" s="58" t="s">
        <v>135</v>
      </c>
      <c r="S413" s="7" t="s">
        <v>282</v>
      </c>
      <c r="T413" s="7" t="s">
        <v>283</v>
      </c>
      <c r="U413" s="7"/>
      <c r="V413" s="7"/>
      <c r="W413" s="7"/>
      <c r="X413" s="7"/>
      <c r="Y413" s="7"/>
      <c r="Z413" s="7"/>
      <c r="AA413" s="7"/>
      <c r="AB413" s="7"/>
      <c r="AC413" s="7"/>
    </row>
    <row r="414" spans="1:29" ht="317.10000000000002" customHeight="1" x14ac:dyDescent="0.75">
      <c r="A414" s="20">
        <v>412</v>
      </c>
      <c r="B414" s="414" t="s">
        <v>136</v>
      </c>
      <c r="C414" s="414" t="s">
        <v>511</v>
      </c>
      <c r="D414" s="416">
        <v>489024380</v>
      </c>
      <c r="E414" s="20" t="s">
        <v>18</v>
      </c>
      <c r="F414" s="20">
        <v>1.1000000000000001</v>
      </c>
      <c r="G414" s="23">
        <v>10.319112000000001</v>
      </c>
      <c r="H414" s="23">
        <f>+G414*0.005</f>
        <v>5.1595560000000006E-2</v>
      </c>
      <c r="I414" s="23">
        <v>0</v>
      </c>
      <c r="J414" s="23">
        <v>0</v>
      </c>
      <c r="K414" s="23">
        <f>+G414*(8.5/100)</f>
        <v>0.87712452000000007</v>
      </c>
      <c r="L414" s="45">
        <v>0</v>
      </c>
      <c r="M414" s="23">
        <v>0</v>
      </c>
      <c r="N414" s="23">
        <f>+H414+K414</f>
        <v>0.92872008000000006</v>
      </c>
      <c r="O414" s="23">
        <f>+((I414+J414)+(L414+M414))</f>
        <v>0</v>
      </c>
      <c r="P414" s="23">
        <f>+N414-O414</f>
        <v>0.92872008000000006</v>
      </c>
      <c r="Q414" s="105" t="s">
        <v>19</v>
      </c>
      <c r="R414" s="24" t="s">
        <v>346</v>
      </c>
      <c r="S414" s="10" t="s">
        <v>344</v>
      </c>
    </row>
    <row r="415" spans="1:29" ht="317.10000000000002" customHeight="1" x14ac:dyDescent="0.75">
      <c r="A415" s="20">
        <v>410</v>
      </c>
      <c r="B415" s="415"/>
      <c r="C415" s="415"/>
      <c r="D415" s="417"/>
      <c r="E415" s="20" t="s">
        <v>20</v>
      </c>
      <c r="F415" s="20">
        <v>1.1000000000000001</v>
      </c>
      <c r="G415" s="21">
        <v>10.591559999999999</v>
      </c>
      <c r="H415" s="21">
        <f>+G415*0.005</f>
        <v>5.2957799999999999E-2</v>
      </c>
      <c r="I415" s="21">
        <v>0</v>
      </c>
      <c r="J415" s="21">
        <v>0</v>
      </c>
      <c r="K415" s="21">
        <f>+G415*(8.5/100)</f>
        <v>0.90028260000000004</v>
      </c>
      <c r="L415" s="22">
        <v>0</v>
      </c>
      <c r="M415" s="21">
        <v>0</v>
      </c>
      <c r="N415" s="21">
        <f t="shared" si="54"/>
        <v>0.9532404000000001</v>
      </c>
      <c r="O415" s="21">
        <f t="shared" si="50"/>
        <v>0</v>
      </c>
      <c r="P415" s="21">
        <f t="shared" si="51"/>
        <v>0.9532404000000001</v>
      </c>
      <c r="Q415" s="105" t="s">
        <v>19</v>
      </c>
      <c r="R415" s="24" t="s">
        <v>446</v>
      </c>
      <c r="S415" s="10" t="s">
        <v>344</v>
      </c>
    </row>
    <row r="416" spans="1:29" ht="317.10000000000002" customHeight="1" x14ac:dyDescent="0.75">
      <c r="A416" s="20">
        <v>411</v>
      </c>
      <c r="B416" s="19" t="s">
        <v>722</v>
      </c>
      <c r="C416" s="19" t="s">
        <v>511</v>
      </c>
      <c r="D416" s="176">
        <v>119041310</v>
      </c>
      <c r="E416" s="20" t="s">
        <v>21</v>
      </c>
      <c r="F416" s="20">
        <v>10</v>
      </c>
      <c r="G416" s="23">
        <v>2.2924799999999999</v>
      </c>
      <c r="H416" s="23">
        <f>+G416*0.01</f>
        <v>2.2924799999999999E-2</v>
      </c>
      <c r="I416" s="23">
        <v>0</v>
      </c>
      <c r="J416" s="23">
        <v>0</v>
      </c>
      <c r="K416" s="23">
        <f>+G416*(10/100)</f>
        <v>0.22924800000000001</v>
      </c>
      <c r="L416" s="45">
        <v>0</v>
      </c>
      <c r="M416" s="23">
        <v>0</v>
      </c>
      <c r="N416" s="23">
        <f t="shared" si="54"/>
        <v>0.25217280000000003</v>
      </c>
      <c r="O416" s="23">
        <f t="shared" si="50"/>
        <v>0</v>
      </c>
      <c r="P416" s="23">
        <f t="shared" si="51"/>
        <v>0.25217280000000003</v>
      </c>
      <c r="Q416" s="105" t="s">
        <v>19</v>
      </c>
      <c r="R416" s="24" t="s">
        <v>489</v>
      </c>
      <c r="S416" s="10" t="s">
        <v>344</v>
      </c>
    </row>
    <row r="417" spans="1:29" ht="317.10000000000002" customHeight="1" x14ac:dyDescent="0.75">
      <c r="A417" s="20">
        <v>413</v>
      </c>
      <c r="B417" s="414" t="s">
        <v>723</v>
      </c>
      <c r="C417" s="414" t="s">
        <v>511</v>
      </c>
      <c r="D417" s="416">
        <v>170149001550</v>
      </c>
      <c r="E417" s="20" t="s">
        <v>20</v>
      </c>
      <c r="F417" s="20">
        <v>3</v>
      </c>
      <c r="G417" s="21">
        <v>27.451180000000001</v>
      </c>
      <c r="H417" s="21">
        <f>+G417*0.005</f>
        <v>0.13725590000000001</v>
      </c>
      <c r="I417" s="21">
        <f>(96673/1000000)</f>
        <v>9.6672999999999995E-2</v>
      </c>
      <c r="J417" s="21">
        <f>(((18+24)*1000)/1000000)</f>
        <v>4.2000000000000003E-2</v>
      </c>
      <c r="K417" s="21">
        <f>+G417*(8.5/100)</f>
        <v>2.3333503000000002</v>
      </c>
      <c r="L417" s="22">
        <v>0</v>
      </c>
      <c r="M417" s="21">
        <f>(((1372+303+659)*1000)/1000000)</f>
        <v>2.3340000000000001</v>
      </c>
      <c r="N417" s="21">
        <f t="shared" si="54"/>
        <v>2.4706062000000002</v>
      </c>
      <c r="O417" s="21">
        <f t="shared" si="50"/>
        <v>2.4726729999999999</v>
      </c>
      <c r="P417" s="21">
        <f t="shared" si="51"/>
        <v>-2.0667999999997022E-3</v>
      </c>
      <c r="Q417" s="105" t="s">
        <v>292</v>
      </c>
      <c r="R417" s="24" t="s">
        <v>387</v>
      </c>
      <c r="S417" s="10" t="s">
        <v>282</v>
      </c>
      <c r="T417" s="10" t="s">
        <v>310</v>
      </c>
    </row>
    <row r="418" spans="1:29" ht="317.10000000000002" customHeight="1" x14ac:dyDescent="0.75">
      <c r="A418" s="20"/>
      <c r="B418" s="415"/>
      <c r="C418" s="415"/>
      <c r="D418" s="417"/>
      <c r="E418" s="20" t="s">
        <v>18</v>
      </c>
      <c r="F418" s="20">
        <v>3</v>
      </c>
      <c r="G418" s="23">
        <v>27.587344000000002</v>
      </c>
      <c r="H418" s="23">
        <f>+G418*0.005</f>
        <v>0.13793672000000001</v>
      </c>
      <c r="I418" s="23">
        <v>0</v>
      </c>
      <c r="J418" s="23">
        <v>0</v>
      </c>
      <c r="K418" s="23">
        <f>+G418*(8.5/100)</f>
        <v>2.3449242400000001</v>
      </c>
      <c r="L418" s="45">
        <v>0</v>
      </c>
      <c r="M418" s="23">
        <v>0</v>
      </c>
      <c r="N418" s="23">
        <f t="shared" si="54"/>
        <v>2.48286096</v>
      </c>
      <c r="O418" s="23">
        <f t="shared" si="50"/>
        <v>0</v>
      </c>
      <c r="P418" s="23">
        <f t="shared" si="51"/>
        <v>2.48286096</v>
      </c>
      <c r="Q418" s="105" t="s">
        <v>19</v>
      </c>
      <c r="R418" s="24" t="s">
        <v>346</v>
      </c>
      <c r="S418" s="10" t="s">
        <v>344</v>
      </c>
    </row>
    <row r="419" spans="1:29" ht="317.10000000000002" customHeight="1" x14ac:dyDescent="0.75">
      <c r="A419" s="394">
        <v>415</v>
      </c>
      <c r="B419" s="414" t="s">
        <v>724</v>
      </c>
      <c r="C419" s="414" t="s">
        <v>511</v>
      </c>
      <c r="D419" s="416">
        <v>203529022730</v>
      </c>
      <c r="E419" s="20" t="s">
        <v>18</v>
      </c>
      <c r="F419" s="20">
        <v>6.77</v>
      </c>
      <c r="G419" s="23">
        <v>26.521509999999999</v>
      </c>
      <c r="H419" s="23">
        <f>+G419*0.005</f>
        <v>0.13260754999999999</v>
      </c>
      <c r="I419" s="23">
        <v>0</v>
      </c>
      <c r="J419" s="23">
        <v>0</v>
      </c>
      <c r="K419" s="23">
        <f>+G419*(8.5/100)</f>
        <v>2.2543283500000002</v>
      </c>
      <c r="L419" s="45">
        <v>0</v>
      </c>
      <c r="M419" s="23">
        <v>0</v>
      </c>
      <c r="N419" s="23">
        <f t="shared" si="54"/>
        <v>2.3869359000000001</v>
      </c>
      <c r="O419" s="23">
        <f t="shared" si="50"/>
        <v>0</v>
      </c>
      <c r="P419" s="23">
        <f t="shared" si="51"/>
        <v>2.3869359000000001</v>
      </c>
      <c r="Q419" s="105" t="s">
        <v>19</v>
      </c>
      <c r="R419" s="24" t="s">
        <v>346</v>
      </c>
      <c r="S419" s="10" t="s">
        <v>344</v>
      </c>
    </row>
    <row r="420" spans="1:29" ht="317.10000000000002" customHeight="1" x14ac:dyDescent="0.75">
      <c r="A420" s="395"/>
      <c r="B420" s="418"/>
      <c r="C420" s="418"/>
      <c r="D420" s="419"/>
      <c r="E420" s="20" t="s">
        <v>20</v>
      </c>
      <c r="F420" s="20">
        <v>6.77</v>
      </c>
      <c r="G420" s="21">
        <v>32.977702000000001</v>
      </c>
      <c r="H420" s="21">
        <f>+G420*0.005</f>
        <v>0.16488851000000002</v>
      </c>
      <c r="I420" s="21">
        <v>0</v>
      </c>
      <c r="J420" s="21">
        <f>(((187)*1000)/1000000)</f>
        <v>0.187</v>
      </c>
      <c r="K420" s="21">
        <f>+G420*(8.5/100)</f>
        <v>2.8031046700000002</v>
      </c>
      <c r="L420" s="22">
        <v>0</v>
      </c>
      <c r="M420" s="21">
        <f>(((1010)*1000)/1000000)</f>
        <v>1.01</v>
      </c>
      <c r="N420" s="21">
        <f t="shared" si="54"/>
        <v>2.9679931800000001</v>
      </c>
      <c r="O420" s="21">
        <f t="shared" si="50"/>
        <v>1.1970000000000001</v>
      </c>
      <c r="P420" s="21">
        <f t="shared" si="51"/>
        <v>1.7709931800000001</v>
      </c>
      <c r="Q420" s="105" t="s">
        <v>284</v>
      </c>
      <c r="R420" s="24" t="s">
        <v>390</v>
      </c>
      <c r="S420" s="10" t="s">
        <v>282</v>
      </c>
      <c r="T420" s="10" t="s">
        <v>283</v>
      </c>
    </row>
    <row r="421" spans="1:29" ht="317.10000000000002" customHeight="1" x14ac:dyDescent="0.75">
      <c r="A421" s="395"/>
      <c r="B421" s="418"/>
      <c r="C421" s="418"/>
      <c r="D421" s="419"/>
      <c r="E421" s="20" t="s">
        <v>21</v>
      </c>
      <c r="F421" s="20">
        <v>7</v>
      </c>
      <c r="G421" s="20">
        <v>24.119692000000001</v>
      </c>
      <c r="H421" s="23">
        <f>+G421*0.01</f>
        <v>0.24119692000000001</v>
      </c>
      <c r="I421" s="23">
        <v>0</v>
      </c>
      <c r="J421" s="23">
        <v>0</v>
      </c>
      <c r="K421" s="23">
        <f>+G421*(10/100)</f>
        <v>2.4119692000000001</v>
      </c>
      <c r="L421" s="45">
        <v>0</v>
      </c>
      <c r="M421" s="23">
        <v>0</v>
      </c>
      <c r="N421" s="23">
        <f t="shared" si="54"/>
        <v>2.6531661200000003</v>
      </c>
      <c r="O421" s="23">
        <f t="shared" si="50"/>
        <v>0</v>
      </c>
      <c r="P421" s="23">
        <f t="shared" si="51"/>
        <v>2.6531661200000003</v>
      </c>
      <c r="Q421" s="105" t="s">
        <v>19</v>
      </c>
      <c r="R421" s="24" t="s">
        <v>489</v>
      </c>
      <c r="S421" s="10" t="s">
        <v>344</v>
      </c>
    </row>
    <row r="422" spans="1:29" ht="317.10000000000002" customHeight="1" x14ac:dyDescent="0.75">
      <c r="A422" s="396"/>
      <c r="B422" s="415"/>
      <c r="C422" s="415"/>
      <c r="D422" s="417"/>
      <c r="E422" s="58" t="s">
        <v>22</v>
      </c>
      <c r="F422" s="58">
        <v>9</v>
      </c>
      <c r="G422" s="60">
        <f>52745976/1000000</f>
        <v>52.745975999999999</v>
      </c>
      <c r="H422" s="60">
        <f>+G422*0.02</f>
        <v>1.0549195199999999</v>
      </c>
      <c r="I422" s="60">
        <v>0</v>
      </c>
      <c r="J422" s="60">
        <v>0</v>
      </c>
      <c r="K422" s="60">
        <f>+G422*(10.5/100)</f>
        <v>5.5383274799999995</v>
      </c>
      <c r="L422" s="61">
        <v>0</v>
      </c>
      <c r="M422" s="60">
        <v>0</v>
      </c>
      <c r="N422" s="60">
        <f t="shared" si="54"/>
        <v>6.5932469999999999</v>
      </c>
      <c r="O422" s="60">
        <f t="shared" si="50"/>
        <v>0</v>
      </c>
      <c r="P422" s="60">
        <f t="shared" si="51"/>
        <v>6.5932469999999999</v>
      </c>
      <c r="Q422" s="119" t="s">
        <v>19</v>
      </c>
      <c r="R422" s="62" t="s">
        <v>137</v>
      </c>
      <c r="S422" s="7" t="s">
        <v>344</v>
      </c>
      <c r="T422" s="7"/>
      <c r="U422" s="7"/>
      <c r="V422" s="7"/>
      <c r="W422" s="7"/>
      <c r="X422" s="7"/>
      <c r="Y422" s="7"/>
      <c r="Z422" s="7"/>
      <c r="AA422" s="7"/>
      <c r="AB422" s="7"/>
      <c r="AC422" s="7"/>
    </row>
    <row r="423" spans="1:29" ht="317.10000000000002" customHeight="1" x14ac:dyDescent="0.75">
      <c r="A423" s="20">
        <v>419</v>
      </c>
      <c r="B423" s="19" t="s">
        <v>725</v>
      </c>
      <c r="C423" s="19" t="s">
        <v>511</v>
      </c>
      <c r="D423" s="176" t="s">
        <v>726</v>
      </c>
      <c r="E423" s="20" t="s">
        <v>20</v>
      </c>
      <c r="F423" s="20">
        <v>3</v>
      </c>
      <c r="G423" s="21">
        <v>8.64</v>
      </c>
      <c r="H423" s="21">
        <f>+G423*0.005</f>
        <v>4.3200000000000002E-2</v>
      </c>
      <c r="I423" s="21">
        <v>0</v>
      </c>
      <c r="J423" s="21">
        <v>0</v>
      </c>
      <c r="K423" s="21">
        <f>+G423*(8.5/100)</f>
        <v>0.73440000000000005</v>
      </c>
      <c r="L423" s="22">
        <v>0</v>
      </c>
      <c r="M423" s="21">
        <v>0</v>
      </c>
      <c r="N423" s="21">
        <f t="shared" si="54"/>
        <v>0.77760000000000007</v>
      </c>
      <c r="O423" s="21">
        <f t="shared" si="50"/>
        <v>0</v>
      </c>
      <c r="P423" s="21">
        <f t="shared" si="51"/>
        <v>0.77760000000000007</v>
      </c>
      <c r="Q423" s="105" t="s">
        <v>19</v>
      </c>
      <c r="R423" s="24" t="s">
        <v>449</v>
      </c>
      <c r="S423" s="10" t="s">
        <v>344</v>
      </c>
    </row>
    <row r="424" spans="1:29" ht="317.10000000000002" customHeight="1" x14ac:dyDescent="0.75">
      <c r="A424" s="20">
        <v>420</v>
      </c>
      <c r="B424" s="19" t="s">
        <v>727</v>
      </c>
      <c r="C424" s="19" t="s">
        <v>511</v>
      </c>
      <c r="D424" s="176">
        <v>186849005550</v>
      </c>
      <c r="E424" s="20" t="s">
        <v>20</v>
      </c>
      <c r="F424" s="20">
        <v>1.7</v>
      </c>
      <c r="G424" s="21">
        <v>5.5584699999999998</v>
      </c>
      <c r="H424" s="21">
        <f>+G424*0.005</f>
        <v>2.779235E-2</v>
      </c>
      <c r="I424" s="21">
        <v>0</v>
      </c>
      <c r="J424" s="21">
        <v>0</v>
      </c>
      <c r="K424" s="21">
        <f>+G424*(8.5/100)</f>
        <v>0.47246995000000003</v>
      </c>
      <c r="L424" s="22">
        <v>0</v>
      </c>
      <c r="M424" s="21">
        <v>0</v>
      </c>
      <c r="N424" s="21">
        <f t="shared" si="54"/>
        <v>0.50026230000000005</v>
      </c>
      <c r="O424" s="21">
        <f t="shared" si="50"/>
        <v>0</v>
      </c>
      <c r="P424" s="21">
        <f t="shared" si="51"/>
        <v>0.50026230000000005</v>
      </c>
      <c r="Q424" s="105" t="s">
        <v>19</v>
      </c>
      <c r="R424" s="24" t="s">
        <v>449</v>
      </c>
      <c r="S424" s="10" t="s">
        <v>344</v>
      </c>
    </row>
    <row r="425" spans="1:29" ht="317.10000000000002" customHeight="1" x14ac:dyDescent="0.75">
      <c r="A425" s="20">
        <v>421</v>
      </c>
      <c r="B425" s="414" t="s">
        <v>728</v>
      </c>
      <c r="C425" s="414" t="s">
        <v>511</v>
      </c>
      <c r="D425" s="416">
        <v>420819006880</v>
      </c>
      <c r="E425" s="20" t="s">
        <v>20</v>
      </c>
      <c r="F425" s="20">
        <v>5.2</v>
      </c>
      <c r="G425" s="21">
        <v>33.406799999999997</v>
      </c>
      <c r="H425" s="21">
        <f>+G425*0.005</f>
        <v>0.16703399999999999</v>
      </c>
      <c r="I425" s="21">
        <v>0</v>
      </c>
      <c r="J425" s="21">
        <v>0</v>
      </c>
      <c r="K425" s="21">
        <f>+G425*(8.5/100)</f>
        <v>2.8395779999999999</v>
      </c>
      <c r="L425" s="22">
        <v>0</v>
      </c>
      <c r="M425" s="21">
        <v>0</v>
      </c>
      <c r="N425" s="21">
        <f t="shared" si="54"/>
        <v>3.0066120000000001</v>
      </c>
      <c r="O425" s="21">
        <f t="shared" si="50"/>
        <v>0</v>
      </c>
      <c r="P425" s="21">
        <f t="shared" si="51"/>
        <v>3.0066120000000001</v>
      </c>
      <c r="Q425" s="105" t="s">
        <v>19</v>
      </c>
      <c r="R425" s="24" t="s">
        <v>447</v>
      </c>
      <c r="S425" s="10" t="s">
        <v>344</v>
      </c>
    </row>
    <row r="426" spans="1:29" ht="317.10000000000002" customHeight="1" x14ac:dyDescent="0.75">
      <c r="A426" s="20">
        <v>422</v>
      </c>
      <c r="B426" s="415"/>
      <c r="C426" s="415"/>
      <c r="D426" s="417"/>
      <c r="E426" s="20" t="s">
        <v>21</v>
      </c>
      <c r="F426" s="20">
        <v>5.3</v>
      </c>
      <c r="G426" s="20">
        <v>25.231573999999998</v>
      </c>
      <c r="H426" s="23">
        <f>+G426*0.01</f>
        <v>0.25231574000000001</v>
      </c>
      <c r="I426" s="23">
        <v>0</v>
      </c>
      <c r="J426" s="23">
        <v>0</v>
      </c>
      <c r="K426" s="23">
        <f>+G426*(10/100)</f>
        <v>2.5231574000000001</v>
      </c>
      <c r="L426" s="45">
        <v>0</v>
      </c>
      <c r="M426" s="23">
        <v>0</v>
      </c>
      <c r="N426" s="23">
        <f t="shared" si="54"/>
        <v>2.7754731399999999</v>
      </c>
      <c r="O426" s="23">
        <f t="shared" ref="O426:O429" si="57">+((I426+J426)+(L426+M426))</f>
        <v>0</v>
      </c>
      <c r="P426" s="23">
        <f t="shared" ref="P426:P491" si="58">+N426-O426</f>
        <v>2.7754731399999999</v>
      </c>
      <c r="Q426" s="105" t="s">
        <v>19</v>
      </c>
      <c r="R426" s="24" t="s">
        <v>490</v>
      </c>
      <c r="S426" s="10" t="s">
        <v>344</v>
      </c>
    </row>
    <row r="427" spans="1:29" ht="317.10000000000002" customHeight="1" x14ac:dyDescent="0.75">
      <c r="A427" s="20">
        <v>423</v>
      </c>
      <c r="B427" s="19" t="s">
        <v>729</v>
      </c>
      <c r="C427" s="19" t="s">
        <v>511</v>
      </c>
      <c r="D427" s="176">
        <v>186849041700</v>
      </c>
      <c r="E427" s="20" t="s">
        <v>20</v>
      </c>
      <c r="F427" s="20">
        <v>3</v>
      </c>
      <c r="G427" s="21">
        <v>17.387499999999999</v>
      </c>
      <c r="H427" s="21">
        <f>+G427*0.005</f>
        <v>8.6937500000000001E-2</v>
      </c>
      <c r="I427" s="21">
        <v>0</v>
      </c>
      <c r="J427" s="21">
        <v>0</v>
      </c>
      <c r="K427" s="21">
        <f>+G427*(8.5/100)</f>
        <v>1.4779375000000001</v>
      </c>
      <c r="L427" s="22">
        <v>0</v>
      </c>
      <c r="M427" s="21">
        <v>0</v>
      </c>
      <c r="N427" s="21">
        <f t="shared" si="54"/>
        <v>1.5648750000000002</v>
      </c>
      <c r="O427" s="21">
        <f t="shared" si="57"/>
        <v>0</v>
      </c>
      <c r="P427" s="21">
        <f t="shared" si="58"/>
        <v>1.5648750000000002</v>
      </c>
      <c r="Q427" s="105" t="s">
        <v>19</v>
      </c>
      <c r="R427" s="24" t="s">
        <v>449</v>
      </c>
      <c r="S427" s="10" t="s">
        <v>344</v>
      </c>
    </row>
    <row r="428" spans="1:29" ht="317.10000000000002" customHeight="1" x14ac:dyDescent="0.75">
      <c r="A428" s="20">
        <v>424</v>
      </c>
      <c r="B428" s="414" t="s">
        <v>730</v>
      </c>
      <c r="C428" s="414" t="s">
        <v>511</v>
      </c>
      <c r="D428" s="416">
        <v>450019000856</v>
      </c>
      <c r="E428" s="20" t="s">
        <v>20</v>
      </c>
      <c r="F428" s="20">
        <v>20.8</v>
      </c>
      <c r="G428" s="21">
        <v>66.694017000000002</v>
      </c>
      <c r="H428" s="21">
        <f>+G428*0.005</f>
        <v>0.33347008500000003</v>
      </c>
      <c r="I428" s="21">
        <v>0</v>
      </c>
      <c r="J428" s="21">
        <f>(311*1000/1000000)</f>
        <v>0.311</v>
      </c>
      <c r="K428" s="21">
        <f>+G428*(8.5/100)</f>
        <v>5.6689914450000005</v>
      </c>
      <c r="L428" s="22">
        <v>0</v>
      </c>
      <c r="M428" s="21">
        <f>(5289*1000/1000000)</f>
        <v>5.2889999999999997</v>
      </c>
      <c r="N428" s="21">
        <f t="shared" si="54"/>
        <v>6.0024615300000006</v>
      </c>
      <c r="O428" s="21">
        <f t="shared" si="57"/>
        <v>5.6</v>
      </c>
      <c r="P428" s="21">
        <f t="shared" si="58"/>
        <v>0.40246153000000096</v>
      </c>
      <c r="Q428" s="105" t="s">
        <v>284</v>
      </c>
      <c r="R428" s="24" t="s">
        <v>438</v>
      </c>
      <c r="S428" s="10" t="s">
        <v>282</v>
      </c>
      <c r="T428" s="10" t="s">
        <v>283</v>
      </c>
    </row>
    <row r="429" spans="1:29" ht="317.10000000000002" customHeight="1" x14ac:dyDescent="0.75">
      <c r="A429" s="20">
        <v>425</v>
      </c>
      <c r="B429" s="418"/>
      <c r="C429" s="418"/>
      <c r="D429" s="419"/>
      <c r="E429" s="20" t="s">
        <v>21</v>
      </c>
      <c r="F429" s="20">
        <v>20.89</v>
      </c>
      <c r="G429" s="20">
        <v>185.66873899999999</v>
      </c>
      <c r="H429" s="23">
        <f>+G429*0.01</f>
        <v>1.8566873899999998</v>
      </c>
      <c r="I429" s="23">
        <v>0</v>
      </c>
      <c r="J429" s="23">
        <f>((1695)*1000/1000000)</f>
        <v>1.6950000000000001</v>
      </c>
      <c r="K429" s="23">
        <f>+G429*(10/100)</f>
        <v>18.566873900000001</v>
      </c>
      <c r="L429" s="45">
        <v>0</v>
      </c>
      <c r="M429" s="23">
        <f>((16955)*1000/1000000)</f>
        <v>16.954999999999998</v>
      </c>
      <c r="N429" s="23">
        <f t="shared" si="54"/>
        <v>20.423561290000002</v>
      </c>
      <c r="O429" s="23">
        <f t="shared" si="57"/>
        <v>18.649999999999999</v>
      </c>
      <c r="P429" s="23">
        <f t="shared" si="58"/>
        <v>1.7735612900000035</v>
      </c>
      <c r="Q429" s="105" t="s">
        <v>284</v>
      </c>
      <c r="R429" s="24" t="s">
        <v>483</v>
      </c>
      <c r="S429" s="10" t="s">
        <v>282</v>
      </c>
      <c r="T429" s="10" t="s">
        <v>283</v>
      </c>
    </row>
    <row r="430" spans="1:29" ht="317.10000000000002" customHeight="1" x14ac:dyDescent="0.75">
      <c r="A430" s="20">
        <v>426</v>
      </c>
      <c r="B430" s="415"/>
      <c r="C430" s="415"/>
      <c r="D430" s="417"/>
      <c r="E430" s="58" t="s">
        <v>22</v>
      </c>
      <c r="F430" s="58">
        <v>20.89</v>
      </c>
      <c r="G430" s="60">
        <f>31269559/1000000</f>
        <v>31.269559000000001</v>
      </c>
      <c r="H430" s="60">
        <f>+G430*0.02</f>
        <v>0.62539118000000005</v>
      </c>
      <c r="I430" s="60">
        <v>0</v>
      </c>
      <c r="J430" s="60">
        <f>(579*1000)/1000000</f>
        <v>0.57899999999999996</v>
      </c>
      <c r="K430" s="60">
        <f>+G430*(10.5/100)</f>
        <v>3.2833036949999999</v>
      </c>
      <c r="L430" s="61">
        <v>0</v>
      </c>
      <c r="M430" s="60">
        <f>((243+2795)*1000)/1000000</f>
        <v>3.0379999999999998</v>
      </c>
      <c r="N430" s="60">
        <f t="shared" si="54"/>
        <v>3.9086948750000001</v>
      </c>
      <c r="O430" s="60">
        <f>I430+J430+L430+M430</f>
        <v>3.617</v>
      </c>
      <c r="P430" s="60">
        <f t="shared" si="58"/>
        <v>0.29169487500000013</v>
      </c>
      <c r="Q430" s="119" t="s">
        <v>292</v>
      </c>
      <c r="R430" s="60" t="s">
        <v>138</v>
      </c>
      <c r="S430" s="7" t="s">
        <v>282</v>
      </c>
      <c r="T430" s="7" t="s">
        <v>283</v>
      </c>
      <c r="U430" s="7"/>
      <c r="V430" s="7"/>
      <c r="W430" s="7"/>
      <c r="X430" s="7"/>
      <c r="Y430" s="7"/>
      <c r="Z430" s="7"/>
      <c r="AA430" s="7"/>
      <c r="AB430" s="7"/>
      <c r="AC430" s="7"/>
    </row>
    <row r="431" spans="1:29" ht="317.10000000000002" customHeight="1" x14ac:dyDescent="0.75">
      <c r="A431" s="20">
        <v>427</v>
      </c>
      <c r="B431" s="414" t="s">
        <v>139</v>
      </c>
      <c r="C431" s="414" t="s">
        <v>511</v>
      </c>
      <c r="D431" s="416">
        <v>490019007470</v>
      </c>
      <c r="E431" s="20" t="s">
        <v>18</v>
      </c>
      <c r="F431" s="20">
        <v>3</v>
      </c>
      <c r="G431" s="44">
        <v>108.95836</v>
      </c>
      <c r="H431" s="23">
        <f>+G431*0.005</f>
        <v>0.54479180000000005</v>
      </c>
      <c r="I431" s="23">
        <v>0</v>
      </c>
      <c r="J431" s="23">
        <v>0</v>
      </c>
      <c r="K431" s="23">
        <f>+G431*(8.5/100)</f>
        <v>9.2614606000000013</v>
      </c>
      <c r="L431" s="45">
        <v>0</v>
      </c>
      <c r="M431" s="23">
        <v>0</v>
      </c>
      <c r="N431" s="23">
        <f t="shared" si="54"/>
        <v>9.8062524000000018</v>
      </c>
      <c r="O431" s="23">
        <f t="shared" ref="O431:O475" si="59">+((I431+J431)+(L431+M431))</f>
        <v>0</v>
      </c>
      <c r="P431" s="23">
        <f t="shared" si="58"/>
        <v>9.8062524000000018</v>
      </c>
      <c r="Q431" s="105" t="s">
        <v>19</v>
      </c>
      <c r="R431" s="24" t="s">
        <v>346</v>
      </c>
      <c r="S431" s="10" t="s">
        <v>344</v>
      </c>
    </row>
    <row r="432" spans="1:29" s="7" customFormat="1" ht="317.10000000000002" customHeight="1" x14ac:dyDescent="0.75">
      <c r="A432" s="20">
        <v>429</v>
      </c>
      <c r="B432" s="418"/>
      <c r="C432" s="418"/>
      <c r="D432" s="419"/>
      <c r="E432" s="20" t="s">
        <v>20</v>
      </c>
      <c r="F432" s="20">
        <v>14</v>
      </c>
      <c r="G432" s="21">
        <v>108.131632</v>
      </c>
      <c r="H432" s="21">
        <f>+G432*0.005</f>
        <v>0.54065816</v>
      </c>
      <c r="I432" s="21">
        <v>0</v>
      </c>
      <c r="J432" s="21">
        <f>((473)*1000)/1000000</f>
        <v>0.47299999999999998</v>
      </c>
      <c r="K432" s="21">
        <f>+G432*(8.5/100)</f>
        <v>9.1911887199999995</v>
      </c>
      <c r="L432" s="22">
        <v>0</v>
      </c>
      <c r="M432" s="21">
        <f>((8044)*1000)/1000000</f>
        <v>8.0440000000000005</v>
      </c>
      <c r="N432" s="21">
        <f>+H432+K432</f>
        <v>9.7318468799999991</v>
      </c>
      <c r="O432" s="21">
        <f>+((I432+J432)+(L432+M432))</f>
        <v>8.5170000000000012</v>
      </c>
      <c r="P432" s="21">
        <f>+N432-O432</f>
        <v>1.2148468799999979</v>
      </c>
      <c r="Q432" s="105" t="s">
        <v>284</v>
      </c>
      <c r="R432" s="24" t="s">
        <v>362</v>
      </c>
      <c r="S432" s="10" t="s">
        <v>282</v>
      </c>
      <c r="T432" s="10" t="s">
        <v>283</v>
      </c>
      <c r="U432" s="10"/>
      <c r="V432" s="10"/>
      <c r="W432" s="10"/>
      <c r="X432" s="10"/>
      <c r="Y432" s="10"/>
      <c r="Z432" s="10"/>
      <c r="AA432" s="10"/>
      <c r="AB432" s="10"/>
      <c r="AC432" s="10"/>
    </row>
    <row r="433" spans="1:29" s="7" customFormat="1" ht="317.10000000000002" customHeight="1" x14ac:dyDescent="0.7">
      <c r="A433" s="20">
        <v>430</v>
      </c>
      <c r="B433" s="415"/>
      <c r="C433" s="415"/>
      <c r="D433" s="417"/>
      <c r="E433" s="20" t="s">
        <v>21</v>
      </c>
      <c r="F433" s="20">
        <v>15.8</v>
      </c>
      <c r="G433" s="20">
        <v>76.436261000000002</v>
      </c>
      <c r="H433" s="23">
        <f>+G433*0.01</f>
        <v>0.76436261000000005</v>
      </c>
      <c r="I433" s="23">
        <v>0</v>
      </c>
      <c r="J433" s="23">
        <v>0</v>
      </c>
      <c r="K433" s="23">
        <f>+G433*(10/100)</f>
        <v>7.6436261000000005</v>
      </c>
      <c r="L433" s="45">
        <v>0</v>
      </c>
      <c r="M433" s="23">
        <v>0</v>
      </c>
      <c r="N433" s="23">
        <f t="shared" si="54"/>
        <v>8.4079887100000015</v>
      </c>
      <c r="O433" s="23">
        <f t="shared" si="59"/>
        <v>0</v>
      </c>
      <c r="P433" s="23">
        <f t="shared" si="58"/>
        <v>8.4079887100000015</v>
      </c>
      <c r="Q433" s="105" t="s">
        <v>19</v>
      </c>
      <c r="R433" s="24" t="s">
        <v>490</v>
      </c>
      <c r="S433" s="7" t="s">
        <v>344</v>
      </c>
    </row>
    <row r="434" spans="1:29" s="7" customFormat="1" ht="317.10000000000002" customHeight="1" x14ac:dyDescent="0.75">
      <c r="A434" s="20">
        <v>431</v>
      </c>
      <c r="B434" s="437" t="s">
        <v>731</v>
      </c>
      <c r="C434" s="439" t="s">
        <v>511</v>
      </c>
      <c r="D434" s="440">
        <v>490539042670</v>
      </c>
      <c r="E434" s="204" t="s">
        <v>18</v>
      </c>
      <c r="F434" s="204">
        <v>3</v>
      </c>
      <c r="G434" s="205">
        <v>13.275347999999999</v>
      </c>
      <c r="H434" s="23">
        <f t="shared" ref="H434:H440" si="60">+G434*0.005</f>
        <v>6.6376740000000004E-2</v>
      </c>
      <c r="I434" s="23">
        <v>0</v>
      </c>
      <c r="J434" s="23">
        <v>0</v>
      </c>
      <c r="K434" s="23">
        <f t="shared" ref="K434:K440" si="61">+G434*(8.5/100)</f>
        <v>1.12840458</v>
      </c>
      <c r="L434" s="45">
        <v>0</v>
      </c>
      <c r="M434" s="23">
        <v>0</v>
      </c>
      <c r="N434" s="23">
        <f>+H434+K434</f>
        <v>1.1947813199999999</v>
      </c>
      <c r="O434" s="23">
        <f>+((I434+J434)+(L434+M434))</f>
        <v>0</v>
      </c>
      <c r="P434" s="23">
        <f>+N434-O434</f>
        <v>1.1947813199999999</v>
      </c>
      <c r="Q434" s="105" t="s">
        <v>284</v>
      </c>
      <c r="R434" s="24" t="s">
        <v>332</v>
      </c>
      <c r="S434" s="10" t="s">
        <v>282</v>
      </c>
      <c r="T434" s="10" t="s">
        <v>283</v>
      </c>
      <c r="U434" s="10"/>
      <c r="V434" s="10"/>
      <c r="W434" s="10"/>
      <c r="X434" s="10"/>
      <c r="Y434" s="10"/>
      <c r="Z434" s="10"/>
      <c r="AA434" s="10"/>
      <c r="AB434" s="10"/>
      <c r="AC434" s="10"/>
    </row>
    <row r="435" spans="1:29" ht="317.10000000000002" customHeight="1" thickBot="1" x14ac:dyDescent="0.8">
      <c r="A435" s="20">
        <v>428</v>
      </c>
      <c r="B435" s="438"/>
      <c r="C435" s="439"/>
      <c r="D435" s="440"/>
      <c r="E435" s="204" t="s">
        <v>20</v>
      </c>
      <c r="F435" s="204">
        <v>3</v>
      </c>
      <c r="G435" s="206">
        <f>15767828
/1000000</f>
        <v>15.767828</v>
      </c>
      <c r="H435" s="21">
        <f t="shared" si="60"/>
        <v>7.8839140000000002E-2</v>
      </c>
      <c r="I435" s="21">
        <v>0</v>
      </c>
      <c r="J435" s="21">
        <v>0</v>
      </c>
      <c r="K435" s="21">
        <f t="shared" si="61"/>
        <v>1.3402653800000002</v>
      </c>
      <c r="L435" s="22">
        <v>0</v>
      </c>
      <c r="M435" s="21">
        <v>0</v>
      </c>
      <c r="N435" s="21">
        <f>+H435+K435</f>
        <v>1.4191045200000001</v>
      </c>
      <c r="O435" s="21">
        <f>+((I435+J435)+(L435+M435))</f>
        <v>0</v>
      </c>
      <c r="P435" s="101">
        <f>+N435-O435</f>
        <v>1.4191045200000001</v>
      </c>
      <c r="Q435" s="120" t="s">
        <v>284</v>
      </c>
      <c r="R435" s="102" t="s">
        <v>29</v>
      </c>
      <c r="S435" s="103" t="s">
        <v>344</v>
      </c>
      <c r="T435" s="103"/>
    </row>
    <row r="436" spans="1:29" s="7" customFormat="1" ht="317.10000000000002" customHeight="1" thickBot="1" x14ac:dyDescent="0.8">
      <c r="A436" s="20">
        <v>433</v>
      </c>
      <c r="B436" s="414" t="s">
        <v>732</v>
      </c>
      <c r="C436" s="414" t="s">
        <v>511</v>
      </c>
      <c r="D436" s="416">
        <v>36249005112</v>
      </c>
      <c r="E436" s="20" t="s">
        <v>18</v>
      </c>
      <c r="F436" s="20">
        <v>9.5</v>
      </c>
      <c r="G436" s="44">
        <v>27.354816</v>
      </c>
      <c r="H436" s="23">
        <f t="shared" si="60"/>
        <v>0.13677407999999999</v>
      </c>
      <c r="I436" s="23">
        <v>0</v>
      </c>
      <c r="J436" s="23">
        <v>0.11700000000000001</v>
      </c>
      <c r="K436" s="23">
        <f t="shared" si="61"/>
        <v>2.3251593600000002</v>
      </c>
      <c r="L436" s="45">
        <v>0</v>
      </c>
      <c r="M436" s="23">
        <v>1.9850000000000001</v>
      </c>
      <c r="N436" s="23">
        <f>+H436+K436</f>
        <v>2.4619334400000001</v>
      </c>
      <c r="O436" s="23">
        <f>+((I436+J436)+(L436+M436))</f>
        <v>2.1020000000000003</v>
      </c>
      <c r="P436" s="23">
        <f>+N436-O436</f>
        <v>0.35993343999999983</v>
      </c>
      <c r="Q436" s="121" t="s">
        <v>284</v>
      </c>
      <c r="R436" s="9" t="s">
        <v>323</v>
      </c>
      <c r="S436" s="10" t="s">
        <v>282</v>
      </c>
      <c r="T436" s="10" t="s">
        <v>283</v>
      </c>
      <c r="U436" s="10"/>
      <c r="V436" s="10"/>
      <c r="W436" s="10"/>
      <c r="X436" s="10"/>
      <c r="Y436" s="10"/>
      <c r="Z436" s="10"/>
      <c r="AA436" s="10"/>
      <c r="AB436" s="10"/>
      <c r="AC436" s="10"/>
    </row>
    <row r="437" spans="1:29" s="7" customFormat="1" ht="317.10000000000002" customHeight="1" thickBot="1" x14ac:dyDescent="0.8">
      <c r="A437" s="20">
        <v>434</v>
      </c>
      <c r="B437" s="415"/>
      <c r="C437" s="415"/>
      <c r="D437" s="417"/>
      <c r="E437" s="20" t="s">
        <v>20</v>
      </c>
      <c r="F437" s="20">
        <v>3.5</v>
      </c>
      <c r="G437" s="21">
        <v>35.293937</v>
      </c>
      <c r="H437" s="21">
        <f t="shared" si="60"/>
        <v>0.17646968500000002</v>
      </c>
      <c r="I437" s="21">
        <v>0</v>
      </c>
      <c r="J437" s="21">
        <f>(60)*1000/1000000</f>
        <v>0.06</v>
      </c>
      <c r="K437" s="21">
        <f t="shared" si="61"/>
        <v>2.9999846450000001</v>
      </c>
      <c r="L437" s="22">
        <v>0</v>
      </c>
      <c r="M437" s="21">
        <f>(3000)*1000/1000000</f>
        <v>3</v>
      </c>
      <c r="N437" s="21">
        <f t="shared" si="54"/>
        <v>3.1764543299999999</v>
      </c>
      <c r="O437" s="21">
        <f t="shared" si="59"/>
        <v>3.06</v>
      </c>
      <c r="P437" s="21">
        <f t="shared" si="58"/>
        <v>0.11645432999999983</v>
      </c>
      <c r="Q437" s="121" t="s">
        <v>284</v>
      </c>
      <c r="R437" s="9" t="s">
        <v>421</v>
      </c>
      <c r="S437" s="10" t="s">
        <v>282</v>
      </c>
      <c r="T437" s="10" t="s">
        <v>283</v>
      </c>
      <c r="U437" s="10"/>
      <c r="V437" s="10"/>
      <c r="W437" s="10"/>
      <c r="X437" s="10"/>
      <c r="Y437" s="10"/>
      <c r="Z437" s="10"/>
      <c r="AA437" s="10"/>
      <c r="AB437" s="10"/>
      <c r="AC437" s="10"/>
    </row>
    <row r="438" spans="1:29" s="7" customFormat="1" ht="317.10000000000002" customHeight="1" thickBot="1" x14ac:dyDescent="0.8">
      <c r="A438" s="394">
        <v>435</v>
      </c>
      <c r="B438" s="414" t="s">
        <v>733</v>
      </c>
      <c r="C438" s="414" t="s">
        <v>511</v>
      </c>
      <c r="D438" s="416">
        <v>41019018456</v>
      </c>
      <c r="E438" s="20" t="s">
        <v>18</v>
      </c>
      <c r="F438" s="20">
        <v>3</v>
      </c>
      <c r="G438" s="44">
        <v>9.7497539999999994</v>
      </c>
      <c r="H438" s="23">
        <f t="shared" si="60"/>
        <v>4.8748769999999997E-2</v>
      </c>
      <c r="I438" s="23">
        <v>0</v>
      </c>
      <c r="J438" s="23">
        <v>4.2000000000000003E-2</v>
      </c>
      <c r="K438" s="23">
        <f t="shared" si="61"/>
        <v>0.82872909000000006</v>
      </c>
      <c r="L438" s="45">
        <v>0</v>
      </c>
      <c r="M438" s="23">
        <v>0.71099999999999997</v>
      </c>
      <c r="N438" s="23">
        <f>+H438+K438</f>
        <v>0.87747786000000005</v>
      </c>
      <c r="O438" s="23">
        <f>+((I438+J438)+(L438+M438))</f>
        <v>0.753</v>
      </c>
      <c r="P438" s="23">
        <f>+N438-O438</f>
        <v>0.12447786000000005</v>
      </c>
      <c r="Q438" s="121" t="s">
        <v>284</v>
      </c>
      <c r="R438" s="9" t="s">
        <v>323</v>
      </c>
      <c r="S438" s="10" t="s">
        <v>282</v>
      </c>
      <c r="T438" s="10" t="s">
        <v>283</v>
      </c>
      <c r="U438" s="10"/>
      <c r="V438" s="10"/>
      <c r="W438" s="10"/>
      <c r="X438" s="10"/>
      <c r="Y438" s="10"/>
      <c r="Z438" s="10"/>
      <c r="AA438" s="10"/>
      <c r="AB438" s="10"/>
      <c r="AC438" s="10"/>
    </row>
    <row r="439" spans="1:29" s="7" customFormat="1" ht="317.10000000000002" customHeight="1" thickBot="1" x14ac:dyDescent="0.8">
      <c r="A439" s="396"/>
      <c r="B439" s="415"/>
      <c r="C439" s="415"/>
      <c r="D439" s="417"/>
      <c r="E439" s="20" t="s">
        <v>20</v>
      </c>
      <c r="F439" s="20">
        <v>1.5</v>
      </c>
      <c r="G439" s="21">
        <v>15.11256</v>
      </c>
      <c r="H439" s="21">
        <f t="shared" si="60"/>
        <v>7.5562799999999999E-2</v>
      </c>
      <c r="I439" s="21">
        <v>0</v>
      </c>
      <c r="J439" s="21">
        <f>(76)*1000/1000000</f>
        <v>7.5999999999999998E-2</v>
      </c>
      <c r="K439" s="21">
        <f t="shared" si="61"/>
        <v>1.2845676000000001</v>
      </c>
      <c r="L439" s="22">
        <v>0</v>
      </c>
      <c r="M439" s="21">
        <f>(1285)*1000/1000000</f>
        <v>1.2849999999999999</v>
      </c>
      <c r="N439" s="21">
        <f t="shared" si="54"/>
        <v>1.3601304000000001</v>
      </c>
      <c r="O439" s="21">
        <f t="shared" si="59"/>
        <v>1.361</v>
      </c>
      <c r="P439" s="21">
        <f t="shared" si="58"/>
        <v>-8.6959999999991489E-4</v>
      </c>
      <c r="Q439" s="121" t="s">
        <v>292</v>
      </c>
      <c r="R439" s="9" t="s">
        <v>421</v>
      </c>
      <c r="S439" s="10" t="s">
        <v>282</v>
      </c>
      <c r="T439" s="10" t="s">
        <v>310</v>
      </c>
      <c r="U439" s="10"/>
      <c r="V439" s="10"/>
      <c r="W439" s="10"/>
      <c r="X439" s="10"/>
      <c r="Y439" s="10"/>
      <c r="Z439" s="10"/>
      <c r="AA439" s="10"/>
      <c r="AB439" s="10"/>
      <c r="AC439" s="10"/>
    </row>
    <row r="440" spans="1:29" s="7" customFormat="1" ht="317.10000000000002" customHeight="1" thickBot="1" x14ac:dyDescent="0.8">
      <c r="A440" s="20">
        <v>437</v>
      </c>
      <c r="B440" s="19" t="s">
        <v>734</v>
      </c>
      <c r="C440" s="19" t="s">
        <v>511</v>
      </c>
      <c r="D440" s="176">
        <v>1620190000117</v>
      </c>
      <c r="E440" s="20" t="s">
        <v>20</v>
      </c>
      <c r="F440" s="20">
        <v>4.5</v>
      </c>
      <c r="G440" s="21">
        <v>2.0549279999999999</v>
      </c>
      <c r="H440" s="21">
        <f t="shared" si="60"/>
        <v>1.027464E-2</v>
      </c>
      <c r="I440" s="21">
        <v>0</v>
      </c>
      <c r="J440" s="21">
        <f>(9)*1000/1000000</f>
        <v>8.9999999999999993E-3</v>
      </c>
      <c r="K440" s="21">
        <f t="shared" si="61"/>
        <v>0.17466888</v>
      </c>
      <c r="L440" s="22">
        <v>0</v>
      </c>
      <c r="M440" s="21">
        <v>0</v>
      </c>
      <c r="N440" s="21">
        <f t="shared" si="54"/>
        <v>0.18494352</v>
      </c>
      <c r="O440" s="21">
        <f t="shared" si="59"/>
        <v>8.9999999999999993E-3</v>
      </c>
      <c r="P440" s="21">
        <f t="shared" si="58"/>
        <v>0.17594351999999999</v>
      </c>
      <c r="Q440" s="121" t="s">
        <v>284</v>
      </c>
      <c r="R440" s="9" t="s">
        <v>411</v>
      </c>
      <c r="S440" s="10" t="s">
        <v>282</v>
      </c>
      <c r="T440" s="10" t="s">
        <v>283</v>
      </c>
      <c r="U440" s="10"/>
      <c r="V440" s="10"/>
      <c r="W440" s="10"/>
      <c r="X440" s="10"/>
      <c r="Y440" s="10"/>
      <c r="Z440" s="10"/>
      <c r="AA440" s="10"/>
      <c r="AB440" s="10"/>
      <c r="AC440" s="10"/>
    </row>
    <row r="441" spans="1:29" s="7" customFormat="1" ht="317.10000000000002" customHeight="1" thickBot="1" x14ac:dyDescent="0.8">
      <c r="A441" s="20">
        <v>438</v>
      </c>
      <c r="B441" s="19" t="s">
        <v>735</v>
      </c>
      <c r="C441" s="19" t="s">
        <v>511</v>
      </c>
      <c r="D441" s="176">
        <v>110019002360</v>
      </c>
      <c r="E441" s="20" t="s">
        <v>20</v>
      </c>
      <c r="F441" s="20">
        <v>2.6</v>
      </c>
      <c r="G441" s="21">
        <v>10.870599</v>
      </c>
      <c r="H441" s="21">
        <f t="shared" ref="H441:H453" si="62">+G441*0.005</f>
        <v>5.4352995000000001E-2</v>
      </c>
      <c r="I441" s="21">
        <v>0</v>
      </c>
      <c r="J441" s="21">
        <f>((36+13)*1000)/1000000</f>
        <v>4.9000000000000002E-2</v>
      </c>
      <c r="K441" s="21">
        <f t="shared" ref="K441:K453" si="63">+G441*(8.5/100)</f>
        <v>0.92400091500000014</v>
      </c>
      <c r="L441" s="22">
        <v>0</v>
      </c>
      <c r="M441" s="21">
        <f>((596+232)*1000)/1000000</f>
        <v>0.82799999999999996</v>
      </c>
      <c r="N441" s="21">
        <f t="shared" si="54"/>
        <v>0.97835391000000016</v>
      </c>
      <c r="O441" s="21">
        <f t="shared" si="59"/>
        <v>0.877</v>
      </c>
      <c r="P441" s="21">
        <f t="shared" si="58"/>
        <v>0.10135391000000016</v>
      </c>
      <c r="Q441" s="121" t="s">
        <v>284</v>
      </c>
      <c r="R441" s="9" t="s">
        <v>368</v>
      </c>
      <c r="S441" s="10" t="s">
        <v>282</v>
      </c>
      <c r="T441" s="10" t="s">
        <v>310</v>
      </c>
      <c r="U441" s="10"/>
      <c r="V441" s="10"/>
      <c r="W441" s="10"/>
      <c r="X441" s="10"/>
      <c r="Y441" s="10"/>
      <c r="Z441" s="10"/>
      <c r="AA441" s="10"/>
      <c r="AB441" s="10"/>
      <c r="AC441" s="10"/>
    </row>
    <row r="442" spans="1:29" s="7" customFormat="1" ht="317.10000000000002" customHeight="1" thickBot="1" x14ac:dyDescent="0.8">
      <c r="A442" s="394">
        <v>439</v>
      </c>
      <c r="B442" s="414" t="s">
        <v>736</v>
      </c>
      <c r="C442" s="414" t="s">
        <v>511</v>
      </c>
      <c r="D442" s="416">
        <v>125019004330</v>
      </c>
      <c r="E442" s="20" t="s">
        <v>18</v>
      </c>
      <c r="F442" s="20">
        <v>10</v>
      </c>
      <c r="G442" s="23">
        <v>11.242490999999999</v>
      </c>
      <c r="H442" s="23">
        <f>+G442*0.005</f>
        <v>5.6212454999999995E-2</v>
      </c>
      <c r="I442" s="23">
        <v>0</v>
      </c>
      <c r="J442" s="23">
        <v>8.9999999999999993E-3</v>
      </c>
      <c r="K442" s="23">
        <f>+G442*(8.5/100)</f>
        <v>0.95561173499999996</v>
      </c>
      <c r="L442" s="45">
        <v>0</v>
      </c>
      <c r="M442" s="23">
        <v>0.158</v>
      </c>
      <c r="N442" s="23">
        <f>+H442+K442</f>
        <v>1.01182419</v>
      </c>
      <c r="O442" s="23">
        <f>+((I442+J442)+(L442+M442))</f>
        <v>0.16700000000000001</v>
      </c>
      <c r="P442" s="23">
        <f>+N442-O442</f>
        <v>0.84482418999999997</v>
      </c>
      <c r="Q442" s="121" t="s">
        <v>284</v>
      </c>
      <c r="R442" s="9" t="s">
        <v>311</v>
      </c>
      <c r="S442" s="10" t="s">
        <v>282</v>
      </c>
      <c r="T442" s="10" t="s">
        <v>283</v>
      </c>
      <c r="U442" s="10"/>
      <c r="V442" s="10"/>
      <c r="W442" s="10"/>
      <c r="X442" s="10"/>
      <c r="Y442" s="10"/>
      <c r="Z442" s="10"/>
      <c r="AA442" s="10"/>
      <c r="AB442" s="10"/>
      <c r="AC442" s="10"/>
    </row>
    <row r="443" spans="1:29" s="7" customFormat="1" ht="317.10000000000002" customHeight="1" thickBot="1" x14ac:dyDescent="0.8">
      <c r="A443" s="395"/>
      <c r="B443" s="418"/>
      <c r="C443" s="418"/>
      <c r="D443" s="419"/>
      <c r="E443" s="20" t="s">
        <v>20</v>
      </c>
      <c r="F443" s="20">
        <v>10</v>
      </c>
      <c r="G443" s="21">
        <v>38.060549000000002</v>
      </c>
      <c r="H443" s="21">
        <f t="shared" si="62"/>
        <v>0.19030274500000002</v>
      </c>
      <c r="I443" s="21">
        <v>0</v>
      </c>
      <c r="J443" s="21">
        <f>((170+66)*1000)/1000000</f>
        <v>0.23599999999999999</v>
      </c>
      <c r="K443" s="21">
        <f t="shared" si="63"/>
        <v>3.2351466650000003</v>
      </c>
      <c r="L443" s="22">
        <v>0</v>
      </c>
      <c r="M443" s="21">
        <f>((2901+1119)*1000)/1000000</f>
        <v>4.0199999999999996</v>
      </c>
      <c r="N443" s="21">
        <f t="shared" si="54"/>
        <v>3.4254494100000001</v>
      </c>
      <c r="O443" s="21">
        <f t="shared" si="59"/>
        <v>4.2559999999999993</v>
      </c>
      <c r="P443" s="21">
        <f t="shared" si="58"/>
        <v>-0.8305505899999992</v>
      </c>
      <c r="Q443" s="121" t="s">
        <v>19</v>
      </c>
      <c r="R443" s="9" t="s">
        <v>368</v>
      </c>
      <c r="S443" s="10" t="s">
        <v>282</v>
      </c>
      <c r="T443" s="10" t="s">
        <v>310</v>
      </c>
      <c r="U443" s="10"/>
      <c r="V443" s="10"/>
      <c r="W443" s="10"/>
      <c r="X443" s="10"/>
      <c r="Y443" s="10"/>
      <c r="Z443" s="10"/>
      <c r="AA443" s="10"/>
      <c r="AB443" s="10"/>
      <c r="AC443" s="10"/>
    </row>
    <row r="444" spans="1:29" s="7" customFormat="1" ht="317.10000000000002" customHeight="1" thickBot="1" x14ac:dyDescent="0.8">
      <c r="A444" s="395"/>
      <c r="B444" s="418"/>
      <c r="C444" s="418"/>
      <c r="D444" s="419"/>
      <c r="E444" s="20" t="s">
        <v>21</v>
      </c>
      <c r="F444" s="20">
        <v>5.5</v>
      </c>
      <c r="G444" s="23">
        <v>31.984259999999999</v>
      </c>
      <c r="H444" s="23">
        <f>+G444*0.01</f>
        <v>0.31984259999999998</v>
      </c>
      <c r="I444" s="45">
        <v>0</v>
      </c>
      <c r="J444" s="23">
        <f>((39+73+212+12)*1000)/1000000</f>
        <v>0.33600000000000002</v>
      </c>
      <c r="K444" s="23">
        <f>+G444*(10/100)</f>
        <v>3.198426</v>
      </c>
      <c r="L444" s="45">
        <v>0</v>
      </c>
      <c r="M444" s="23">
        <f>((395+743+2055+191)*1000)/1000000</f>
        <v>3.3839999999999999</v>
      </c>
      <c r="N444" s="23">
        <f>+H444+K444</f>
        <v>3.5182685999999999</v>
      </c>
      <c r="O444" s="23">
        <f>+((I444+J444)+(L444+M444))</f>
        <v>3.7199999999999998</v>
      </c>
      <c r="P444" s="23">
        <f>+N444-O444</f>
        <v>-0.20173139999999989</v>
      </c>
      <c r="Q444" s="121" t="s">
        <v>284</v>
      </c>
      <c r="R444" s="9" t="s">
        <v>469</v>
      </c>
      <c r="S444" s="10" t="s">
        <v>282</v>
      </c>
      <c r="T444" s="10" t="s">
        <v>310</v>
      </c>
      <c r="U444" s="10"/>
      <c r="V444" s="10"/>
      <c r="W444" s="10"/>
      <c r="X444" s="10"/>
      <c r="Y444" s="10"/>
      <c r="Z444" s="10"/>
      <c r="AA444" s="10"/>
      <c r="AB444" s="10"/>
      <c r="AC444" s="10"/>
    </row>
    <row r="445" spans="1:29" s="7" customFormat="1" ht="317.10000000000002" customHeight="1" thickBot="1" x14ac:dyDescent="0.75">
      <c r="A445" s="396"/>
      <c r="B445" s="415"/>
      <c r="C445" s="415"/>
      <c r="D445" s="417"/>
      <c r="E445" s="58" t="s">
        <v>22</v>
      </c>
      <c r="F445" s="59">
        <v>5.5</v>
      </c>
      <c r="G445" s="60">
        <f>39022021/1000000</f>
        <v>39.022021000000002</v>
      </c>
      <c r="H445" s="60">
        <f>+G445*0.02</f>
        <v>0.78044042000000002</v>
      </c>
      <c r="I445" s="61">
        <v>0</v>
      </c>
      <c r="J445" s="60">
        <v>0</v>
      </c>
      <c r="K445" s="60">
        <f>+G445*(10.5/100)</f>
        <v>4.0973122049999997</v>
      </c>
      <c r="L445" s="61">
        <v>0</v>
      </c>
      <c r="M445" s="60">
        <f>(3605*1000)/1000000</f>
        <v>3.605</v>
      </c>
      <c r="N445" s="60">
        <f>+H445+K445</f>
        <v>4.8777526249999994</v>
      </c>
      <c r="O445" s="60">
        <f>+((I445+J445)+(L445+M445))</f>
        <v>3.605</v>
      </c>
      <c r="P445" s="60">
        <f>+N445-O445</f>
        <v>1.2727526249999994</v>
      </c>
      <c r="Q445" s="124" t="s">
        <v>292</v>
      </c>
      <c r="R445" s="11" t="s">
        <v>149</v>
      </c>
      <c r="S445" s="7" t="s">
        <v>282</v>
      </c>
      <c r="T445" s="7" t="s">
        <v>283</v>
      </c>
    </row>
    <row r="446" spans="1:29" s="7" customFormat="1" ht="317.10000000000002" customHeight="1" thickBot="1" x14ac:dyDescent="0.8">
      <c r="A446" s="20">
        <v>442</v>
      </c>
      <c r="B446" s="19" t="s">
        <v>737</v>
      </c>
      <c r="C446" s="19" t="s">
        <v>511</v>
      </c>
      <c r="D446" s="176">
        <v>36489018777</v>
      </c>
      <c r="E446" s="20" t="s">
        <v>20</v>
      </c>
      <c r="F446" s="20">
        <v>5.5</v>
      </c>
      <c r="G446" s="21">
        <v>8.0310000000000006</v>
      </c>
      <c r="H446" s="21">
        <f t="shared" si="62"/>
        <v>4.0155000000000003E-2</v>
      </c>
      <c r="I446" s="21">
        <v>0</v>
      </c>
      <c r="J446" s="21">
        <f>((10+29)*1000)/1000000</f>
        <v>3.9E-2</v>
      </c>
      <c r="K446" s="21">
        <f t="shared" si="63"/>
        <v>0.6826350000000001</v>
      </c>
      <c r="L446" s="22">
        <v>0</v>
      </c>
      <c r="M446" s="21">
        <f>((200+456)*1000)/1000000</f>
        <v>0.65600000000000003</v>
      </c>
      <c r="N446" s="21">
        <f t="shared" si="54"/>
        <v>0.72279000000000015</v>
      </c>
      <c r="O446" s="21">
        <f t="shared" si="59"/>
        <v>0.69500000000000006</v>
      </c>
      <c r="P446" s="21">
        <f t="shared" si="58"/>
        <v>2.7790000000000092E-2</v>
      </c>
      <c r="Q446" s="121" t="s">
        <v>284</v>
      </c>
      <c r="R446" s="9" t="s">
        <v>403</v>
      </c>
      <c r="S446" s="10" t="s">
        <v>282</v>
      </c>
      <c r="T446" s="10" t="s">
        <v>283</v>
      </c>
      <c r="U446" s="10"/>
      <c r="V446" s="10"/>
      <c r="W446" s="10"/>
      <c r="X446" s="10"/>
      <c r="Y446" s="10"/>
      <c r="Z446" s="10"/>
      <c r="AA446" s="10"/>
      <c r="AB446" s="10"/>
      <c r="AC446" s="10"/>
    </row>
    <row r="447" spans="1:29" s="7" customFormat="1" ht="317.10000000000002" customHeight="1" thickBot="1" x14ac:dyDescent="0.8">
      <c r="A447" s="20">
        <v>443</v>
      </c>
      <c r="B447" s="19" t="s">
        <v>738</v>
      </c>
      <c r="C447" s="19" t="s">
        <v>511</v>
      </c>
      <c r="D447" s="176">
        <v>430019003412</v>
      </c>
      <c r="E447" s="20" t="s">
        <v>20</v>
      </c>
      <c r="F447" s="20">
        <v>3</v>
      </c>
      <c r="G447" s="21">
        <v>11.98948</v>
      </c>
      <c r="H447" s="21">
        <f t="shared" si="62"/>
        <v>5.9947400000000005E-2</v>
      </c>
      <c r="I447" s="21">
        <f>(737748.2/1000000)</f>
        <v>0.73774819999999997</v>
      </c>
      <c r="J447" s="21">
        <v>0</v>
      </c>
      <c r="K447" s="21">
        <f t="shared" si="63"/>
        <v>1.0191058000000002</v>
      </c>
      <c r="L447" s="22">
        <v>0</v>
      </c>
      <c r="M447" s="21">
        <f>((1019)*1000)/1000000</f>
        <v>1.0189999999999999</v>
      </c>
      <c r="N447" s="21">
        <f t="shared" si="54"/>
        <v>1.0790532000000002</v>
      </c>
      <c r="O447" s="21">
        <f t="shared" si="59"/>
        <v>1.7567481999999999</v>
      </c>
      <c r="P447" s="21">
        <f t="shared" si="58"/>
        <v>-0.67769499999999971</v>
      </c>
      <c r="Q447" s="121" t="s">
        <v>284</v>
      </c>
      <c r="R447" s="9" t="s">
        <v>356</v>
      </c>
      <c r="S447" s="10" t="s">
        <v>282</v>
      </c>
      <c r="T447" s="10" t="s">
        <v>310</v>
      </c>
      <c r="U447" s="10"/>
      <c r="V447" s="10"/>
      <c r="W447" s="10"/>
      <c r="X447" s="10"/>
      <c r="Y447" s="10"/>
      <c r="Z447" s="10"/>
      <c r="AA447" s="10"/>
      <c r="AB447" s="10"/>
      <c r="AC447" s="10"/>
    </row>
    <row r="448" spans="1:29" s="7" customFormat="1" ht="317.10000000000002" customHeight="1" thickBot="1" x14ac:dyDescent="0.8">
      <c r="A448" s="20">
        <v>444</v>
      </c>
      <c r="B448" s="19" t="s">
        <v>739</v>
      </c>
      <c r="C448" s="19" t="s">
        <v>511</v>
      </c>
      <c r="D448" s="176">
        <v>366589007050</v>
      </c>
      <c r="E448" s="20" t="s">
        <v>20</v>
      </c>
      <c r="F448" s="20">
        <v>3.3</v>
      </c>
      <c r="G448" s="21">
        <v>10.018031000000001</v>
      </c>
      <c r="H448" s="21">
        <f t="shared" si="62"/>
        <v>5.0090155000000004E-2</v>
      </c>
      <c r="I448" s="21">
        <v>0</v>
      </c>
      <c r="J448" s="21">
        <v>0</v>
      </c>
      <c r="K448" s="21">
        <f t="shared" si="63"/>
        <v>0.85153263500000009</v>
      </c>
      <c r="L448" s="22">
        <v>0</v>
      </c>
      <c r="M448" s="21">
        <v>0</v>
      </c>
      <c r="N448" s="21">
        <f t="shared" si="54"/>
        <v>0.90162279000000012</v>
      </c>
      <c r="O448" s="21">
        <f t="shared" si="59"/>
        <v>0</v>
      </c>
      <c r="P448" s="21">
        <f t="shared" si="58"/>
        <v>0.90162279000000012</v>
      </c>
      <c r="Q448" s="121" t="s">
        <v>19</v>
      </c>
      <c r="R448" s="9" t="s">
        <v>447</v>
      </c>
      <c r="S448" s="10" t="s">
        <v>344</v>
      </c>
      <c r="T448" s="10"/>
      <c r="U448" s="10"/>
      <c r="V448" s="10"/>
      <c r="W448" s="10"/>
      <c r="X448" s="10"/>
      <c r="Y448" s="10"/>
      <c r="Z448" s="10"/>
      <c r="AA448" s="10"/>
      <c r="AB448" s="10"/>
      <c r="AC448" s="10"/>
    </row>
    <row r="449" spans="1:29" s="7" customFormat="1" ht="378.95" customHeight="1" thickBot="1" x14ac:dyDescent="0.8">
      <c r="A449" s="20">
        <v>445</v>
      </c>
      <c r="B449" s="19" t="s">
        <v>740</v>
      </c>
      <c r="C449" s="19" t="s">
        <v>511</v>
      </c>
      <c r="D449" s="176">
        <v>176759057670</v>
      </c>
      <c r="E449" s="20" t="s">
        <v>20</v>
      </c>
      <c r="F449" s="20">
        <v>4.5</v>
      </c>
      <c r="G449" s="21">
        <v>17.359794000000001</v>
      </c>
      <c r="H449" s="21">
        <f t="shared" si="62"/>
        <v>8.6798970000000003E-2</v>
      </c>
      <c r="I449" s="21">
        <v>0</v>
      </c>
      <c r="J449" s="21">
        <f>((10+10+25+6)*1000)/1000000</f>
        <v>5.0999999999999997E-2</v>
      </c>
      <c r="K449" s="21">
        <f t="shared" si="63"/>
        <v>1.4755824900000001</v>
      </c>
      <c r="L449" s="22">
        <v>0</v>
      </c>
      <c r="M449" s="21">
        <f>((100+200+481+94)*1000)/1000000</f>
        <v>0.875</v>
      </c>
      <c r="N449" s="21">
        <f t="shared" si="54"/>
        <v>1.5623814600000001</v>
      </c>
      <c r="O449" s="21">
        <f t="shared" si="59"/>
        <v>0.92600000000000005</v>
      </c>
      <c r="P449" s="21">
        <f t="shared" si="58"/>
        <v>0.63638146000000007</v>
      </c>
      <c r="Q449" s="121" t="s">
        <v>284</v>
      </c>
      <c r="R449" s="9" t="s">
        <v>141</v>
      </c>
      <c r="S449" s="10" t="s">
        <v>282</v>
      </c>
      <c r="T449" s="10" t="s">
        <v>283</v>
      </c>
      <c r="U449" s="10"/>
      <c r="V449" s="10"/>
      <c r="W449" s="10"/>
      <c r="X449" s="10"/>
      <c r="Y449" s="10"/>
      <c r="Z449" s="10"/>
      <c r="AA449" s="10"/>
      <c r="AB449" s="10"/>
      <c r="AC449" s="10"/>
    </row>
    <row r="450" spans="1:29" s="7" customFormat="1" ht="317.10000000000002" customHeight="1" thickBot="1" x14ac:dyDescent="0.8">
      <c r="A450" s="20">
        <v>446</v>
      </c>
      <c r="B450" s="19" t="s">
        <v>741</v>
      </c>
      <c r="C450" s="19" t="s">
        <v>511</v>
      </c>
      <c r="D450" s="176">
        <v>420819011460</v>
      </c>
      <c r="E450" s="20" t="s">
        <v>20</v>
      </c>
      <c r="F450" s="20">
        <v>2.5</v>
      </c>
      <c r="G450" s="21">
        <v>8.0447100000000002</v>
      </c>
      <c r="H450" s="21">
        <f t="shared" si="62"/>
        <v>4.0223550000000004E-2</v>
      </c>
      <c r="I450" s="21">
        <v>0</v>
      </c>
      <c r="J450" s="21">
        <f>(10+15+7+4)*1000/1000000</f>
        <v>3.5999999999999997E-2</v>
      </c>
      <c r="K450" s="21">
        <f t="shared" si="63"/>
        <v>0.68380035000000006</v>
      </c>
      <c r="L450" s="22">
        <v>0</v>
      </c>
      <c r="M450" s="21">
        <f>(150+300+95+64)*1000/1000000</f>
        <v>0.60899999999999999</v>
      </c>
      <c r="N450" s="21">
        <f t="shared" si="54"/>
        <v>0.72402390000000005</v>
      </c>
      <c r="O450" s="21">
        <f t="shared" si="59"/>
        <v>0.64500000000000002</v>
      </c>
      <c r="P450" s="21">
        <f t="shared" si="58"/>
        <v>7.9023900000000036E-2</v>
      </c>
      <c r="Q450" s="121" t="s">
        <v>284</v>
      </c>
      <c r="R450" s="9" t="s">
        <v>429</v>
      </c>
      <c r="S450" s="10" t="s">
        <v>282</v>
      </c>
      <c r="T450" s="10" t="s">
        <v>283</v>
      </c>
      <c r="U450" s="10"/>
      <c r="V450" s="10"/>
      <c r="W450" s="10"/>
      <c r="X450" s="10"/>
      <c r="Y450" s="10"/>
      <c r="Z450" s="10"/>
      <c r="AA450" s="10"/>
      <c r="AB450" s="10"/>
      <c r="AC450" s="10"/>
    </row>
    <row r="451" spans="1:29" s="7" customFormat="1" ht="317.10000000000002" customHeight="1" thickBot="1" x14ac:dyDescent="0.8">
      <c r="A451" s="20">
        <v>447</v>
      </c>
      <c r="B451" s="19" t="s">
        <v>742</v>
      </c>
      <c r="C451" s="19" t="s">
        <v>536</v>
      </c>
      <c r="D451" s="176">
        <v>900000035682</v>
      </c>
      <c r="E451" s="20" t="s">
        <v>20</v>
      </c>
      <c r="F451" s="20">
        <v>3.4</v>
      </c>
      <c r="G451" s="21">
        <v>4.97</v>
      </c>
      <c r="H451" s="21">
        <f t="shared" si="62"/>
        <v>2.4850000000000001E-2</v>
      </c>
      <c r="I451" s="21">
        <v>0</v>
      </c>
      <c r="J451" s="21">
        <v>0</v>
      </c>
      <c r="K451" s="21">
        <f t="shared" si="63"/>
        <v>0.42244999999999999</v>
      </c>
      <c r="L451" s="22">
        <v>0</v>
      </c>
      <c r="M451" s="21">
        <v>0</v>
      </c>
      <c r="N451" s="21">
        <f t="shared" si="54"/>
        <v>0.44729999999999998</v>
      </c>
      <c r="O451" s="21">
        <f t="shared" si="59"/>
        <v>0</v>
      </c>
      <c r="P451" s="21">
        <f t="shared" si="58"/>
        <v>0.44729999999999998</v>
      </c>
      <c r="Q451" s="121" t="s">
        <v>46</v>
      </c>
      <c r="R451" s="9" t="s">
        <v>445</v>
      </c>
      <c r="S451" s="10" t="s">
        <v>344</v>
      </c>
      <c r="T451" s="10"/>
      <c r="U451" s="10"/>
      <c r="V451" s="10"/>
      <c r="W451" s="10"/>
      <c r="X451" s="10"/>
      <c r="Y451" s="10"/>
      <c r="Z451" s="10"/>
      <c r="AA451" s="10"/>
      <c r="AB451" s="10"/>
      <c r="AC451" s="10"/>
    </row>
    <row r="452" spans="1:29" s="7" customFormat="1" ht="317.10000000000002" customHeight="1" thickBot="1" x14ac:dyDescent="0.8">
      <c r="A452" s="20">
        <v>448</v>
      </c>
      <c r="B452" s="19" t="s">
        <v>743</v>
      </c>
      <c r="C452" s="19" t="s">
        <v>536</v>
      </c>
      <c r="D452" s="176">
        <v>900000078205</v>
      </c>
      <c r="E452" s="20" t="s">
        <v>20</v>
      </c>
      <c r="F452" s="20" t="s">
        <v>142</v>
      </c>
      <c r="G452" s="21">
        <v>6.72</v>
      </c>
      <c r="H452" s="21">
        <f t="shared" si="62"/>
        <v>3.3599999999999998E-2</v>
      </c>
      <c r="I452" s="21">
        <v>0</v>
      </c>
      <c r="J452" s="21">
        <v>0</v>
      </c>
      <c r="K452" s="21">
        <f t="shared" si="63"/>
        <v>0.57120000000000004</v>
      </c>
      <c r="L452" s="22">
        <v>0</v>
      </c>
      <c r="M452" s="21">
        <v>0</v>
      </c>
      <c r="N452" s="21">
        <f t="shared" si="54"/>
        <v>0.6048</v>
      </c>
      <c r="O452" s="21">
        <f t="shared" si="59"/>
        <v>0</v>
      </c>
      <c r="P452" s="21">
        <f t="shared" si="58"/>
        <v>0.6048</v>
      </c>
      <c r="Q452" s="121" t="s">
        <v>46</v>
      </c>
      <c r="R452" s="9" t="s">
        <v>50</v>
      </c>
      <c r="S452" s="10" t="s">
        <v>344</v>
      </c>
      <c r="T452" s="10"/>
      <c r="U452" s="10"/>
      <c r="V452" s="10"/>
      <c r="W452" s="10"/>
      <c r="X452" s="10"/>
      <c r="Y452" s="10"/>
      <c r="Z452" s="10"/>
      <c r="AA452" s="10"/>
      <c r="AB452" s="10"/>
      <c r="AC452" s="10"/>
    </row>
    <row r="453" spans="1:29" s="7" customFormat="1" ht="317.10000000000002" customHeight="1" thickBot="1" x14ac:dyDescent="0.8">
      <c r="A453" s="20">
        <v>449</v>
      </c>
      <c r="B453" s="428" t="s">
        <v>744</v>
      </c>
      <c r="C453" s="414" t="s">
        <v>511</v>
      </c>
      <c r="D453" s="416">
        <v>170019035310</v>
      </c>
      <c r="E453" s="20" t="s">
        <v>18</v>
      </c>
      <c r="F453" s="20">
        <v>1.5</v>
      </c>
      <c r="G453" s="23">
        <v>17.062007000000001</v>
      </c>
      <c r="H453" s="23">
        <f t="shared" si="62"/>
        <v>8.5310035000000006E-2</v>
      </c>
      <c r="I453" s="23">
        <v>0</v>
      </c>
      <c r="J453" s="23">
        <f>(5+6+5+6+5+10+39)*1000/1000000</f>
        <v>7.5999999999999998E-2</v>
      </c>
      <c r="K453" s="23">
        <f t="shared" si="63"/>
        <v>1.4502705950000001</v>
      </c>
      <c r="L453" s="45">
        <v>0</v>
      </c>
      <c r="M453" s="23">
        <f>(97+94+92+95+94+633+154)*1000/1000000</f>
        <v>1.2589999999999999</v>
      </c>
      <c r="N453" s="23">
        <f t="shared" si="54"/>
        <v>1.5355806300000001</v>
      </c>
      <c r="O453" s="23">
        <f t="shared" si="59"/>
        <v>1.335</v>
      </c>
      <c r="P453" s="23">
        <f t="shared" si="58"/>
        <v>0.20058063000000015</v>
      </c>
      <c r="Q453" s="121" t="s">
        <v>277</v>
      </c>
      <c r="R453" s="25" t="s">
        <v>297</v>
      </c>
      <c r="S453" s="10" t="s">
        <v>282</v>
      </c>
      <c r="T453" s="10" t="s">
        <v>283</v>
      </c>
      <c r="U453" s="10"/>
      <c r="V453" s="10"/>
      <c r="W453" s="10"/>
      <c r="X453" s="10"/>
      <c r="Y453" s="10"/>
      <c r="Z453" s="10"/>
      <c r="AA453" s="10"/>
      <c r="AB453" s="10"/>
      <c r="AC453" s="10"/>
    </row>
    <row r="454" spans="1:29" s="7" customFormat="1" ht="317.10000000000002" customHeight="1" thickBot="1" x14ac:dyDescent="0.8">
      <c r="A454" s="20">
        <v>451</v>
      </c>
      <c r="B454" s="429"/>
      <c r="C454" s="418"/>
      <c r="D454" s="419"/>
      <c r="E454" s="20" t="s">
        <v>20</v>
      </c>
      <c r="F454" s="20">
        <v>1.5</v>
      </c>
      <c r="G454" s="21">
        <v>29.070383</v>
      </c>
      <c r="H454" s="21">
        <f>+G454*0.005</f>
        <v>0.145351915</v>
      </c>
      <c r="I454" s="21">
        <v>0</v>
      </c>
      <c r="J454" s="21">
        <f>((94+22+11)*1000)/1000000</f>
        <v>0.127</v>
      </c>
      <c r="K454" s="21">
        <f>+G454*(8.5/100)</f>
        <v>2.470982555</v>
      </c>
      <c r="L454" s="22">
        <v>0</v>
      </c>
      <c r="M454" s="21">
        <f>((1614+358+180)*1000)/1000000</f>
        <v>2.1520000000000001</v>
      </c>
      <c r="N454" s="21">
        <f>+H454+K454</f>
        <v>2.61633447</v>
      </c>
      <c r="O454" s="21">
        <f>+((I454+J454)+(L454+M454))</f>
        <v>2.2789999999999999</v>
      </c>
      <c r="P454" s="21">
        <f>+N454-O454</f>
        <v>0.33733447000000005</v>
      </c>
      <c r="Q454" s="121" t="s">
        <v>284</v>
      </c>
      <c r="R454" s="9" t="s">
        <v>357</v>
      </c>
      <c r="S454" s="10" t="s">
        <v>282</v>
      </c>
      <c r="T454" s="10" t="s">
        <v>283</v>
      </c>
      <c r="U454" s="10"/>
      <c r="V454" s="10"/>
      <c r="W454" s="10"/>
      <c r="X454" s="10"/>
      <c r="Y454" s="10"/>
      <c r="Z454" s="10"/>
      <c r="AA454" s="10"/>
      <c r="AB454" s="10"/>
      <c r="AC454" s="10"/>
    </row>
    <row r="455" spans="1:29" s="7" customFormat="1" ht="317.10000000000002" customHeight="1" x14ac:dyDescent="0.75">
      <c r="A455" s="20">
        <v>450</v>
      </c>
      <c r="B455" s="429"/>
      <c r="C455" s="418"/>
      <c r="D455" s="419"/>
      <c r="E455" s="20" t="s">
        <v>21</v>
      </c>
      <c r="F455" s="20">
        <v>6</v>
      </c>
      <c r="G455" s="20">
        <v>8.4888899999999996</v>
      </c>
      <c r="H455" s="23">
        <f>+G455*0.01</f>
        <v>8.4888900000000003E-2</v>
      </c>
      <c r="I455" s="23">
        <v>0.20599999999999999</v>
      </c>
      <c r="J455" s="23">
        <f>((21+22+19+28+25+27+28+28+24)*1000/1000000)</f>
        <v>0.222</v>
      </c>
      <c r="K455" s="23">
        <f>+G455*(10/100)</f>
        <v>0.848889</v>
      </c>
      <c r="L455" s="45">
        <v>0</v>
      </c>
      <c r="M455" s="23">
        <f>((214+225+320+147+245+275+283+275+244+284+719)*1000/1000000)</f>
        <v>3.2309999999999999</v>
      </c>
      <c r="N455" s="23">
        <f t="shared" si="54"/>
        <v>0.93377790000000005</v>
      </c>
      <c r="O455" s="23">
        <f t="shared" si="59"/>
        <v>3.6589999999999998</v>
      </c>
      <c r="P455" s="23">
        <f t="shared" si="58"/>
        <v>-2.7252220999999999</v>
      </c>
      <c r="Q455" s="121" t="s">
        <v>284</v>
      </c>
      <c r="R455" s="9" t="s">
        <v>486</v>
      </c>
      <c r="S455" s="10" t="s">
        <v>282</v>
      </c>
      <c r="T455" s="10" t="s">
        <v>310</v>
      </c>
      <c r="U455" s="10"/>
      <c r="V455" s="10"/>
      <c r="W455" s="10"/>
      <c r="X455" s="10"/>
      <c r="Y455" s="10"/>
      <c r="Z455" s="10"/>
      <c r="AA455" s="10"/>
      <c r="AB455" s="10"/>
      <c r="AC455" s="10"/>
    </row>
    <row r="456" spans="1:29" s="7" customFormat="1" ht="317.10000000000002" customHeight="1" thickBot="1" x14ac:dyDescent="0.75">
      <c r="A456" s="20">
        <v>432</v>
      </c>
      <c r="B456" s="430"/>
      <c r="C456" s="415"/>
      <c r="D456" s="417"/>
      <c r="E456" s="58" t="s">
        <v>22</v>
      </c>
      <c r="F456" s="58">
        <v>7</v>
      </c>
      <c r="G456" s="58">
        <f>22427150/1000000</f>
        <v>22.427150000000001</v>
      </c>
      <c r="H456" s="60">
        <f>+G456*0.02</f>
        <v>0.44854300000000003</v>
      </c>
      <c r="I456" s="60">
        <v>0</v>
      </c>
      <c r="J456" s="60">
        <f>(390*1000)/1000000</f>
        <v>0.39</v>
      </c>
      <c r="K456" s="60">
        <f>+G456*(10.5/100)</f>
        <v>2.3548507500000002</v>
      </c>
      <c r="L456" s="61">
        <v>0</v>
      </c>
      <c r="M456" s="60">
        <f>((376+1600)*1000)/1000000</f>
        <v>1.976</v>
      </c>
      <c r="N456" s="60">
        <f>+H456+K456</f>
        <v>2.8033937500000001</v>
      </c>
      <c r="O456" s="60">
        <f>+((I456+J456)+(L456+M456))</f>
        <v>2.3660000000000001</v>
      </c>
      <c r="P456" s="60">
        <f>+N456-O456</f>
        <v>0.43739375000000003</v>
      </c>
      <c r="Q456" s="119" t="s">
        <v>19</v>
      </c>
      <c r="R456" s="62" t="s">
        <v>140</v>
      </c>
      <c r="S456" s="7" t="s">
        <v>282</v>
      </c>
      <c r="T456" s="7" t="s">
        <v>283</v>
      </c>
    </row>
    <row r="457" spans="1:29" s="7" customFormat="1" ht="317.10000000000002" customHeight="1" thickBot="1" x14ac:dyDescent="0.75">
      <c r="A457" s="20">
        <v>452</v>
      </c>
      <c r="B457" s="52" t="s">
        <v>745</v>
      </c>
      <c r="C457" s="52" t="s">
        <v>511</v>
      </c>
      <c r="D457" s="189">
        <v>31069021980</v>
      </c>
      <c r="E457" s="53" t="s">
        <v>27</v>
      </c>
      <c r="F457" s="140">
        <v>12</v>
      </c>
      <c r="G457" s="140">
        <v>58.712823</v>
      </c>
      <c r="H457" s="54">
        <f>+G457*(3.5/100)</f>
        <v>2.054948805</v>
      </c>
      <c r="I457" s="54">
        <v>0</v>
      </c>
      <c r="J457" s="54">
        <v>0</v>
      </c>
      <c r="K457" s="54">
        <f>+G457*(11.5/100)</f>
        <v>6.7519746450000007</v>
      </c>
      <c r="L457" s="56">
        <v>0</v>
      </c>
      <c r="M457" s="54">
        <v>0</v>
      </c>
      <c r="N457" s="54">
        <f t="shared" ref="N457:N521" si="64">+H457+K457</f>
        <v>8.8069234500000011</v>
      </c>
      <c r="O457" s="54">
        <f t="shared" si="59"/>
        <v>0</v>
      </c>
      <c r="P457" s="54">
        <f t="shared" si="58"/>
        <v>8.8069234500000011</v>
      </c>
      <c r="Q457" s="122" t="s">
        <v>496</v>
      </c>
      <c r="R457" s="63" t="s">
        <v>143</v>
      </c>
      <c r="S457" s="7" t="s">
        <v>282</v>
      </c>
      <c r="T457" s="7" t="s">
        <v>283</v>
      </c>
    </row>
    <row r="458" spans="1:29" s="7" customFormat="1" ht="317.10000000000002" customHeight="1" thickBot="1" x14ac:dyDescent="0.8">
      <c r="A458" s="394">
        <v>453</v>
      </c>
      <c r="B458" s="414" t="s">
        <v>746</v>
      </c>
      <c r="C458" s="414" t="s">
        <v>511</v>
      </c>
      <c r="D458" s="416">
        <v>3019005177</v>
      </c>
      <c r="E458" s="20" t="s">
        <v>18</v>
      </c>
      <c r="F458" s="20">
        <v>9</v>
      </c>
      <c r="G458" s="23">
        <v>58.040531999999999</v>
      </c>
      <c r="H458" s="23">
        <f>+G458*0.005</f>
        <v>0.29020266</v>
      </c>
      <c r="I458" s="23">
        <v>0</v>
      </c>
      <c r="J458" s="23">
        <v>0</v>
      </c>
      <c r="K458" s="23">
        <f>+G458*(8.5/100)</f>
        <v>4.9334452200000003</v>
      </c>
      <c r="L458" s="45">
        <v>0</v>
      </c>
      <c r="M458" s="23">
        <v>0</v>
      </c>
      <c r="N458" s="23">
        <f t="shared" si="64"/>
        <v>5.2236478800000006</v>
      </c>
      <c r="O458" s="23">
        <f t="shared" si="59"/>
        <v>0</v>
      </c>
      <c r="P458" s="23">
        <f t="shared" si="58"/>
        <v>5.2236478800000006</v>
      </c>
      <c r="Q458" s="121" t="s">
        <v>19</v>
      </c>
      <c r="R458" s="9" t="s">
        <v>346</v>
      </c>
      <c r="S458" s="10" t="s">
        <v>344</v>
      </c>
      <c r="T458" s="10"/>
      <c r="U458" s="10"/>
      <c r="V458" s="10"/>
      <c r="W458" s="10"/>
      <c r="X458" s="10"/>
      <c r="Y458" s="10"/>
      <c r="Z458" s="10"/>
      <c r="AA458" s="10"/>
      <c r="AB458" s="10"/>
      <c r="AC458" s="10"/>
    </row>
    <row r="459" spans="1:29" s="7" customFormat="1" ht="317.10000000000002" customHeight="1" thickBot="1" x14ac:dyDescent="0.8">
      <c r="A459" s="395"/>
      <c r="B459" s="418"/>
      <c r="C459" s="418"/>
      <c r="D459" s="419"/>
      <c r="E459" s="20" t="s">
        <v>20</v>
      </c>
      <c r="F459" s="20">
        <v>9</v>
      </c>
      <c r="G459" s="21">
        <v>71.325143999999995</v>
      </c>
      <c r="H459" s="21">
        <f>+G459*0.005</f>
        <v>0.35662571999999998</v>
      </c>
      <c r="I459" s="21">
        <v>0</v>
      </c>
      <c r="J459" s="21">
        <f>(((340)*1000)/1000000)</f>
        <v>0.34</v>
      </c>
      <c r="K459" s="21">
        <f>+G459*(8.5/100)</f>
        <v>6.0626372399999999</v>
      </c>
      <c r="L459" s="22">
        <v>0</v>
      </c>
      <c r="M459" s="21">
        <f>(((5777)*1000)/1000000)</f>
        <v>5.7770000000000001</v>
      </c>
      <c r="N459" s="21">
        <f t="shared" si="64"/>
        <v>6.4192629600000002</v>
      </c>
      <c r="O459" s="21">
        <f t="shared" si="59"/>
        <v>6.117</v>
      </c>
      <c r="P459" s="21">
        <f t="shared" si="58"/>
        <v>0.30226296000000019</v>
      </c>
      <c r="Q459" s="121" t="s">
        <v>19</v>
      </c>
      <c r="R459" s="9" t="s">
        <v>144</v>
      </c>
      <c r="S459" s="10" t="s">
        <v>282</v>
      </c>
      <c r="T459" s="10" t="s">
        <v>283</v>
      </c>
      <c r="U459" s="10"/>
      <c r="V459" s="10"/>
      <c r="W459" s="10"/>
      <c r="X459" s="10"/>
      <c r="Y459" s="10"/>
      <c r="Z459" s="10"/>
      <c r="AA459" s="10"/>
      <c r="AB459" s="10"/>
      <c r="AC459" s="10"/>
    </row>
    <row r="460" spans="1:29" s="7" customFormat="1" ht="317.10000000000002" customHeight="1" thickBot="1" x14ac:dyDescent="0.8">
      <c r="A460" s="395"/>
      <c r="B460" s="418"/>
      <c r="C460" s="418"/>
      <c r="D460" s="419"/>
      <c r="E460" s="20" t="s">
        <v>21</v>
      </c>
      <c r="F460" s="20">
        <v>9</v>
      </c>
      <c r="G460" s="23">
        <v>60.493673999999999</v>
      </c>
      <c r="H460" s="23">
        <f>+G460*0.01</f>
        <v>0.60493673999999997</v>
      </c>
      <c r="I460" s="23">
        <v>0</v>
      </c>
      <c r="J460" s="23">
        <f>((353+225)*1000)/1000000</f>
        <v>0.57799999999999996</v>
      </c>
      <c r="K460" s="23">
        <f>+G460*(10/100)</f>
        <v>6.0493674000000004</v>
      </c>
      <c r="L460" s="45">
        <v>0</v>
      </c>
      <c r="M460" s="23">
        <f>((3530+2246)*1000)/1000000</f>
        <v>5.7759999999999998</v>
      </c>
      <c r="N460" s="23">
        <f>+H460+K460</f>
        <v>6.6543041400000007</v>
      </c>
      <c r="O460" s="23">
        <f>+((I460+J460)+(L460+M460))</f>
        <v>6.3540000000000001</v>
      </c>
      <c r="P460" s="23">
        <f>+N460-O460</f>
        <v>0.30030414000000061</v>
      </c>
      <c r="Q460" s="121" t="s">
        <v>284</v>
      </c>
      <c r="R460" s="9" t="s">
        <v>470</v>
      </c>
      <c r="S460" s="10" t="s">
        <v>282</v>
      </c>
      <c r="T460" s="10" t="s">
        <v>283</v>
      </c>
      <c r="U460" s="10"/>
      <c r="V460" s="10"/>
      <c r="W460" s="10"/>
      <c r="X460" s="10"/>
      <c r="Y460" s="10"/>
      <c r="Z460" s="10"/>
      <c r="AA460" s="10"/>
      <c r="AB460" s="10"/>
      <c r="AC460" s="10"/>
    </row>
    <row r="461" spans="1:29" s="7" customFormat="1" ht="317.10000000000002" customHeight="1" thickBot="1" x14ac:dyDescent="0.75">
      <c r="A461" s="395"/>
      <c r="B461" s="418"/>
      <c r="C461" s="418"/>
      <c r="D461" s="419"/>
      <c r="E461" s="58" t="s">
        <v>22</v>
      </c>
      <c r="F461" s="58">
        <v>9</v>
      </c>
      <c r="G461" s="60">
        <f>48228935/1000000</f>
        <v>48.228935</v>
      </c>
      <c r="H461" s="60">
        <f>+G461*0.02</f>
        <v>0.96457870000000001</v>
      </c>
      <c r="I461" s="60">
        <v>0</v>
      </c>
      <c r="J461" s="60">
        <f>(923*1000)/1000000</f>
        <v>0.92300000000000004</v>
      </c>
      <c r="K461" s="60">
        <f>+G461*(10.5/100)</f>
        <v>5.0640381749999994</v>
      </c>
      <c r="L461" s="61">
        <v>0</v>
      </c>
      <c r="M461" s="60">
        <f>((4464+381)*1000)/1000000</f>
        <v>4.8449999999999998</v>
      </c>
      <c r="N461" s="60">
        <f>+H461+K461</f>
        <v>6.0286168749999991</v>
      </c>
      <c r="O461" s="60">
        <f>+((I461+J461)+(L461+M461))</f>
        <v>5.7679999999999998</v>
      </c>
      <c r="P461" s="60">
        <f>+N461-O461</f>
        <v>0.2606168749999993</v>
      </c>
      <c r="Q461" s="124" t="s">
        <v>19</v>
      </c>
      <c r="R461" s="11" t="s">
        <v>146</v>
      </c>
      <c r="S461" s="7" t="s">
        <v>282</v>
      </c>
      <c r="T461" s="7" t="s">
        <v>283</v>
      </c>
    </row>
    <row r="462" spans="1:29" s="7" customFormat="1" ht="317.10000000000002" customHeight="1" thickBot="1" x14ac:dyDescent="0.75">
      <c r="A462" s="395"/>
      <c r="B462" s="418"/>
      <c r="C462" s="418"/>
      <c r="D462" s="419"/>
      <c r="E462" s="47" t="s">
        <v>24</v>
      </c>
      <c r="F462" s="47">
        <v>9</v>
      </c>
      <c r="G462" s="143">
        <v>64.496924000000007</v>
      </c>
      <c r="H462" s="50">
        <f>+G462*(2.75/100)</f>
        <v>1.7736654100000002</v>
      </c>
      <c r="I462" s="50">
        <v>0</v>
      </c>
      <c r="J462" s="50">
        <f>((813+861+27)*1000)/1000000</f>
        <v>1.7010000000000001</v>
      </c>
      <c r="K462" s="50">
        <f>+G462*(11/100)</f>
        <v>7.0946616400000009</v>
      </c>
      <c r="L462" s="51">
        <v>0</v>
      </c>
      <c r="M462" s="50">
        <f>((3252+3442+110)*1000)/1000000</f>
        <v>6.8040000000000003</v>
      </c>
      <c r="N462" s="50">
        <f>+H462+K462</f>
        <v>8.8683270500000013</v>
      </c>
      <c r="O462" s="50">
        <f>+((I462+J462)+(L462+M462))</f>
        <v>8.5050000000000008</v>
      </c>
      <c r="P462" s="50">
        <f>+N462-O462</f>
        <v>0.36332705000000054</v>
      </c>
      <c r="Q462" s="125" t="s">
        <v>497</v>
      </c>
      <c r="R462" s="12" t="s">
        <v>147</v>
      </c>
      <c r="S462" s="7" t="s">
        <v>282</v>
      </c>
      <c r="T462" s="7" t="s">
        <v>283</v>
      </c>
    </row>
    <row r="463" spans="1:29" s="7" customFormat="1" ht="317.10000000000002" customHeight="1" thickBot="1" x14ac:dyDescent="0.75">
      <c r="A463" s="396"/>
      <c r="B463" s="415"/>
      <c r="C463" s="415"/>
      <c r="D463" s="417"/>
      <c r="E463" s="140" t="s">
        <v>27</v>
      </c>
      <c r="F463" s="140">
        <v>9</v>
      </c>
      <c r="G463" s="140">
        <v>65.814732000000006</v>
      </c>
      <c r="H463" s="141">
        <f>+G463*(3.5/100)</f>
        <v>2.3035156200000007</v>
      </c>
      <c r="I463" s="141">
        <v>0</v>
      </c>
      <c r="J463" s="141">
        <f>((0)*1000)/1000000</f>
        <v>0</v>
      </c>
      <c r="K463" s="141">
        <f>+G463*(11.5/100)</f>
        <v>7.5686941800000014</v>
      </c>
      <c r="L463" s="142">
        <v>0</v>
      </c>
      <c r="M463" s="141">
        <f>((0)*1000)/1000000</f>
        <v>0</v>
      </c>
      <c r="N463" s="141">
        <f>+H463+K463</f>
        <v>9.872209800000002</v>
      </c>
      <c r="O463" s="141">
        <f>+((I463+J463)+(L463+M463))</f>
        <v>0</v>
      </c>
      <c r="P463" s="141">
        <f>+N463-O463</f>
        <v>9.872209800000002</v>
      </c>
      <c r="Q463" s="123" t="s">
        <v>496</v>
      </c>
      <c r="R463" s="63" t="s">
        <v>145</v>
      </c>
      <c r="S463" s="7" t="s">
        <v>282</v>
      </c>
      <c r="T463" s="7" t="s">
        <v>283</v>
      </c>
    </row>
    <row r="464" spans="1:29" s="7" customFormat="1" ht="317.10000000000002" customHeight="1" thickBot="1" x14ac:dyDescent="0.8">
      <c r="A464" s="20">
        <v>462</v>
      </c>
      <c r="B464" s="19" t="s">
        <v>148</v>
      </c>
      <c r="C464" s="394" t="s">
        <v>511</v>
      </c>
      <c r="D464" s="409">
        <v>28619033260</v>
      </c>
      <c r="E464" s="20" t="s">
        <v>18</v>
      </c>
      <c r="F464" s="20">
        <v>2</v>
      </c>
      <c r="G464" s="44">
        <v>10.630272</v>
      </c>
      <c r="H464" s="23">
        <f>+G464*0.005</f>
        <v>5.3151360000000002E-2</v>
      </c>
      <c r="I464" s="23">
        <v>0</v>
      </c>
      <c r="J464" s="23">
        <f>(4+3+4+2+4+6+4+4+4+4+5)/1000</f>
        <v>4.3999999999999997E-2</v>
      </c>
      <c r="K464" s="23">
        <f>+G464*(8.5/100)</f>
        <v>0.90357312000000001</v>
      </c>
      <c r="L464" s="45">
        <v>0</v>
      </c>
      <c r="M464" s="23">
        <f>(64+62+56+50+57+116+59+61+81+63+78)/1000</f>
        <v>0.747</v>
      </c>
      <c r="N464" s="23">
        <f>+H464+K464</f>
        <v>0.95672447999999999</v>
      </c>
      <c r="O464" s="23">
        <f>+((I464+J464)+(L464+M464))</f>
        <v>0.79100000000000004</v>
      </c>
      <c r="P464" s="23">
        <f>+N464-O464</f>
        <v>0.16572447999999995</v>
      </c>
      <c r="Q464" s="121" t="s">
        <v>284</v>
      </c>
      <c r="R464" s="9" t="s">
        <v>330</v>
      </c>
      <c r="S464" s="10" t="s">
        <v>282</v>
      </c>
      <c r="T464" s="10" t="s">
        <v>283</v>
      </c>
      <c r="U464" s="10"/>
      <c r="V464" s="10"/>
      <c r="W464" s="10"/>
      <c r="X464" s="10"/>
      <c r="Y464" s="10"/>
      <c r="Z464" s="10"/>
      <c r="AA464" s="10"/>
      <c r="AB464" s="10"/>
      <c r="AC464" s="10"/>
    </row>
    <row r="465" spans="1:29" s="7" customFormat="1" ht="317.10000000000002" customHeight="1" thickBot="1" x14ac:dyDescent="0.8">
      <c r="A465" s="20">
        <v>459</v>
      </c>
      <c r="B465" s="19"/>
      <c r="C465" s="396"/>
      <c r="D465" s="411"/>
      <c r="E465" s="20" t="s">
        <v>20</v>
      </c>
      <c r="F465" s="20">
        <v>1.6</v>
      </c>
      <c r="G465" s="21">
        <v>15.763693</v>
      </c>
      <c r="H465" s="21">
        <f t="shared" ref="H465:H470" si="65">+G465*0.005</f>
        <v>7.8818465000000004E-2</v>
      </c>
      <c r="I465" s="21">
        <v>0</v>
      </c>
      <c r="J465" s="21">
        <v>0</v>
      </c>
      <c r="K465" s="21">
        <f t="shared" ref="K465:K470" si="66">+G465*(8.5/100)</f>
        <v>1.3399139050000002</v>
      </c>
      <c r="L465" s="22">
        <v>0</v>
      </c>
      <c r="M465" s="21">
        <v>0</v>
      </c>
      <c r="N465" s="21">
        <f t="shared" si="64"/>
        <v>1.4187323700000003</v>
      </c>
      <c r="O465" s="21">
        <f t="shared" si="59"/>
        <v>0</v>
      </c>
      <c r="P465" s="21">
        <f t="shared" si="58"/>
        <v>1.4187323700000003</v>
      </c>
      <c r="Q465" s="121" t="s">
        <v>19</v>
      </c>
      <c r="R465" s="9" t="s">
        <v>449</v>
      </c>
      <c r="S465" s="10" t="s">
        <v>344</v>
      </c>
      <c r="T465" s="10"/>
      <c r="U465" s="10"/>
      <c r="V465" s="10"/>
      <c r="W465" s="10"/>
      <c r="X465" s="10"/>
      <c r="Y465" s="10"/>
      <c r="Z465" s="10"/>
      <c r="AA465" s="10"/>
      <c r="AB465" s="10"/>
      <c r="AC465" s="10"/>
    </row>
    <row r="466" spans="1:29" s="7" customFormat="1" ht="317.10000000000002" customHeight="1" thickBot="1" x14ac:dyDescent="0.8">
      <c r="A466" s="20">
        <v>460</v>
      </c>
      <c r="B466" s="414" t="s">
        <v>747</v>
      </c>
      <c r="C466" s="394" t="s">
        <v>511</v>
      </c>
      <c r="D466" s="409">
        <v>28619009276</v>
      </c>
      <c r="E466" s="20" t="s">
        <v>18</v>
      </c>
      <c r="F466" s="20">
        <v>2</v>
      </c>
      <c r="G466" s="23">
        <v>17.314944000000001</v>
      </c>
      <c r="H466" s="23">
        <f t="shared" si="65"/>
        <v>8.6574720000000008E-2</v>
      </c>
      <c r="I466" s="23">
        <v>0</v>
      </c>
      <c r="J466" s="23">
        <f>(7+6+5+5+5+14+7+6+7+6+5)*1000/1000000</f>
        <v>7.2999999999999995E-2</v>
      </c>
      <c r="K466" s="23">
        <f t="shared" si="66"/>
        <v>1.4717702400000001</v>
      </c>
      <c r="L466" s="45">
        <v>0</v>
      </c>
      <c r="M466" s="23">
        <f>(91+119+100+94+124+229+99+73+102+100+110)*1000/1000000</f>
        <v>1.2410000000000001</v>
      </c>
      <c r="N466" s="23">
        <f t="shared" si="64"/>
        <v>1.5583449600000001</v>
      </c>
      <c r="O466" s="23">
        <f t="shared" si="59"/>
        <v>1.3140000000000001</v>
      </c>
      <c r="P466" s="23">
        <f t="shared" si="58"/>
        <v>0.24434496000000006</v>
      </c>
      <c r="Q466" s="121" t="s">
        <v>277</v>
      </c>
      <c r="R466" s="9" t="s">
        <v>289</v>
      </c>
      <c r="S466" s="10" t="s">
        <v>282</v>
      </c>
      <c r="T466" s="10" t="s">
        <v>283</v>
      </c>
      <c r="U466" s="10"/>
      <c r="V466" s="10"/>
      <c r="W466" s="10"/>
      <c r="X466" s="10"/>
      <c r="Y466" s="10"/>
      <c r="Z466" s="10"/>
      <c r="AA466" s="10"/>
      <c r="AB466" s="10"/>
      <c r="AC466" s="10"/>
    </row>
    <row r="467" spans="1:29" s="7" customFormat="1" ht="317.10000000000002" customHeight="1" thickBot="1" x14ac:dyDescent="0.8">
      <c r="A467" s="20">
        <v>461</v>
      </c>
      <c r="B467" s="415"/>
      <c r="C467" s="396"/>
      <c r="D467" s="411"/>
      <c r="E467" s="20" t="s">
        <v>20</v>
      </c>
      <c r="F467" s="20">
        <v>2</v>
      </c>
      <c r="G467" s="21">
        <v>17.963927999999999</v>
      </c>
      <c r="H467" s="21">
        <f t="shared" si="65"/>
        <v>8.9819639999999992E-2</v>
      </c>
      <c r="I467" s="21">
        <v>0</v>
      </c>
      <c r="J467" s="21">
        <v>0</v>
      </c>
      <c r="K467" s="21">
        <f t="shared" si="66"/>
        <v>1.5269338800000001</v>
      </c>
      <c r="L467" s="22">
        <v>0</v>
      </c>
      <c r="M467" s="21">
        <v>0</v>
      </c>
      <c r="N467" s="21">
        <f t="shared" si="64"/>
        <v>1.6167535200000001</v>
      </c>
      <c r="O467" s="21">
        <f t="shared" si="59"/>
        <v>0</v>
      </c>
      <c r="P467" s="21">
        <f t="shared" si="58"/>
        <v>1.6167535200000001</v>
      </c>
      <c r="Q467" s="121" t="s">
        <v>19</v>
      </c>
      <c r="R467" s="9" t="s">
        <v>450</v>
      </c>
      <c r="S467" s="10" t="s">
        <v>344</v>
      </c>
      <c r="T467" s="10"/>
      <c r="U467" s="10"/>
      <c r="V467" s="10"/>
      <c r="W467" s="10"/>
      <c r="X467" s="10"/>
      <c r="Y467" s="10"/>
      <c r="Z467" s="10"/>
      <c r="AA467" s="10"/>
      <c r="AB467" s="10"/>
      <c r="AC467" s="10"/>
    </row>
    <row r="468" spans="1:29" s="7" customFormat="1" ht="317.10000000000002" customHeight="1" thickBot="1" x14ac:dyDescent="0.8">
      <c r="A468" s="20">
        <v>463</v>
      </c>
      <c r="B468" s="19" t="s">
        <v>748</v>
      </c>
      <c r="C468" s="19" t="s">
        <v>511</v>
      </c>
      <c r="D468" s="176">
        <v>250389304235</v>
      </c>
      <c r="E468" s="20" t="s">
        <v>20</v>
      </c>
      <c r="F468" s="20">
        <v>3.2</v>
      </c>
      <c r="G468" s="21">
        <v>7.786378</v>
      </c>
      <c r="H468" s="21">
        <f t="shared" si="65"/>
        <v>3.8931890000000004E-2</v>
      </c>
      <c r="I468" s="21">
        <v>0</v>
      </c>
      <c r="J468" s="21">
        <f>(35)*1000/1000000</f>
        <v>3.5000000000000003E-2</v>
      </c>
      <c r="K468" s="21">
        <f t="shared" si="66"/>
        <v>0.66184213000000003</v>
      </c>
      <c r="L468" s="22">
        <v>0</v>
      </c>
      <c r="M468" s="21">
        <f>(591+4)*1000/1000000</f>
        <v>0.59499999999999997</v>
      </c>
      <c r="N468" s="21">
        <f t="shared" si="64"/>
        <v>0.70077402</v>
      </c>
      <c r="O468" s="21">
        <f t="shared" si="59"/>
        <v>0.63</v>
      </c>
      <c r="P468" s="21">
        <f t="shared" si="58"/>
        <v>7.0774019999999993E-2</v>
      </c>
      <c r="Q468" s="121" t="s">
        <v>284</v>
      </c>
      <c r="R468" s="9" t="s">
        <v>418</v>
      </c>
      <c r="S468" s="10" t="s">
        <v>282</v>
      </c>
      <c r="T468" s="10" t="s">
        <v>283</v>
      </c>
      <c r="U468" s="10"/>
      <c r="V468" s="10"/>
      <c r="W468" s="10"/>
      <c r="X468" s="10"/>
      <c r="Y468" s="10"/>
      <c r="Z468" s="10"/>
      <c r="AA468" s="10"/>
      <c r="AB468" s="10"/>
      <c r="AC468" s="10"/>
    </row>
    <row r="469" spans="1:29" s="7" customFormat="1" ht="317.10000000000002" customHeight="1" thickBot="1" x14ac:dyDescent="0.8">
      <c r="A469" s="394">
        <v>464</v>
      </c>
      <c r="B469" s="414" t="s">
        <v>749</v>
      </c>
      <c r="C469" s="414" t="s">
        <v>511</v>
      </c>
      <c r="D469" s="416">
        <v>330249002861</v>
      </c>
      <c r="E469" s="20" t="s">
        <v>18</v>
      </c>
      <c r="F469" s="20">
        <v>1</v>
      </c>
      <c r="G469" s="23">
        <v>6.52651</v>
      </c>
      <c r="H469" s="23">
        <f t="shared" si="65"/>
        <v>3.2632550000000003E-2</v>
      </c>
      <c r="I469" s="23">
        <v>0</v>
      </c>
      <c r="J469" s="23">
        <v>0</v>
      </c>
      <c r="K469" s="23">
        <f t="shared" si="66"/>
        <v>0.55475335000000003</v>
      </c>
      <c r="L469" s="45">
        <v>0</v>
      </c>
      <c r="M469" s="23">
        <v>0</v>
      </c>
      <c r="N469" s="23">
        <f t="shared" si="64"/>
        <v>0.58738590000000002</v>
      </c>
      <c r="O469" s="23">
        <f t="shared" si="59"/>
        <v>0</v>
      </c>
      <c r="P469" s="23">
        <f t="shared" si="58"/>
        <v>0.58738590000000002</v>
      </c>
      <c r="Q469" s="121" t="s">
        <v>19</v>
      </c>
      <c r="R469" s="9" t="s">
        <v>346</v>
      </c>
      <c r="S469" s="10" t="s">
        <v>344</v>
      </c>
      <c r="T469" s="10"/>
      <c r="U469" s="10"/>
      <c r="V469" s="10"/>
      <c r="W469" s="10"/>
      <c r="X469" s="10"/>
      <c r="Y469" s="10"/>
      <c r="Z469" s="10"/>
      <c r="AA469" s="10"/>
      <c r="AB469" s="10"/>
      <c r="AC469" s="10"/>
    </row>
    <row r="470" spans="1:29" s="7" customFormat="1" ht="317.10000000000002" customHeight="1" thickBot="1" x14ac:dyDescent="0.8">
      <c r="A470" s="396"/>
      <c r="B470" s="415"/>
      <c r="C470" s="415"/>
      <c r="D470" s="417"/>
      <c r="E470" s="20" t="s">
        <v>20</v>
      </c>
      <c r="F470" s="20">
        <v>1.2</v>
      </c>
      <c r="G470" s="21">
        <v>10.970597</v>
      </c>
      <c r="H470" s="21">
        <f t="shared" si="65"/>
        <v>5.4852985E-2</v>
      </c>
      <c r="I470" s="21">
        <v>0</v>
      </c>
      <c r="J470" s="21">
        <f>(10+32+5)*1000/1000000</f>
        <v>4.7E-2</v>
      </c>
      <c r="K470" s="21">
        <f t="shared" si="66"/>
        <v>0.93250074500000002</v>
      </c>
      <c r="L470" s="22">
        <v>0</v>
      </c>
      <c r="M470" s="21">
        <f>(250+476+69)*1000/1000000</f>
        <v>0.79500000000000004</v>
      </c>
      <c r="N470" s="21">
        <f t="shared" si="64"/>
        <v>0.98735373000000004</v>
      </c>
      <c r="O470" s="21">
        <f t="shared" si="59"/>
        <v>0.84200000000000008</v>
      </c>
      <c r="P470" s="21">
        <f t="shared" si="58"/>
        <v>0.14535372999999996</v>
      </c>
      <c r="Q470" s="121" t="s">
        <v>284</v>
      </c>
      <c r="R470" s="9" t="s">
        <v>421</v>
      </c>
      <c r="S470" s="10" t="s">
        <v>282</v>
      </c>
      <c r="T470" s="10" t="s">
        <v>283</v>
      </c>
      <c r="U470" s="10"/>
      <c r="V470" s="10"/>
      <c r="W470" s="10"/>
      <c r="X470" s="10"/>
      <c r="Y470" s="10"/>
      <c r="Z470" s="10"/>
      <c r="AA470" s="10"/>
      <c r="AB470" s="10"/>
      <c r="AC470" s="10"/>
    </row>
    <row r="471" spans="1:29" s="7" customFormat="1" ht="317.10000000000002" customHeight="1" thickBot="1" x14ac:dyDescent="0.8">
      <c r="A471" s="394">
        <v>467</v>
      </c>
      <c r="B471" s="414" t="s">
        <v>750</v>
      </c>
      <c r="C471" s="414" t="s">
        <v>511</v>
      </c>
      <c r="D471" s="416">
        <v>52089006996</v>
      </c>
      <c r="E471" s="20" t="s">
        <v>20</v>
      </c>
      <c r="F471" s="20">
        <v>15.5</v>
      </c>
      <c r="G471" s="21">
        <v>2.9768240000000001</v>
      </c>
      <c r="H471" s="21">
        <f>+G471*0.005</f>
        <v>1.4884120000000001E-2</v>
      </c>
      <c r="I471" s="21">
        <v>0</v>
      </c>
      <c r="J471" s="21">
        <f>((15)*1000)/1000000</f>
        <v>1.4999999999999999E-2</v>
      </c>
      <c r="K471" s="21">
        <f>+G471*(8.5/100)</f>
        <v>0.25303004000000001</v>
      </c>
      <c r="L471" s="22">
        <v>0</v>
      </c>
      <c r="M471" s="21">
        <f>((241)*1000)/1000000</f>
        <v>0.24099999999999999</v>
      </c>
      <c r="N471" s="21">
        <f t="shared" si="64"/>
        <v>0.26791416000000001</v>
      </c>
      <c r="O471" s="21">
        <f t="shared" si="59"/>
        <v>0.25600000000000001</v>
      </c>
      <c r="P471" s="21">
        <f t="shared" si="58"/>
        <v>1.1914160000000007E-2</v>
      </c>
      <c r="Q471" s="121" t="s">
        <v>284</v>
      </c>
      <c r="R471" s="9" t="s">
        <v>379</v>
      </c>
      <c r="S471" s="10" t="s">
        <v>282</v>
      </c>
      <c r="T471" s="10" t="s">
        <v>283</v>
      </c>
      <c r="U471" s="10"/>
      <c r="V471" s="10"/>
      <c r="W471" s="10"/>
      <c r="X471" s="10"/>
      <c r="Y471" s="10"/>
      <c r="Z471" s="10"/>
      <c r="AA471" s="10"/>
      <c r="AB471" s="10"/>
      <c r="AC471" s="10"/>
    </row>
    <row r="472" spans="1:29" s="7" customFormat="1" ht="317.10000000000002" customHeight="1" thickBot="1" x14ac:dyDescent="0.8">
      <c r="A472" s="396"/>
      <c r="B472" s="415"/>
      <c r="C472" s="415"/>
      <c r="D472" s="417"/>
      <c r="E472" s="20" t="s">
        <v>21</v>
      </c>
      <c r="F472" s="20">
        <v>15.5</v>
      </c>
      <c r="G472" s="23">
        <v>13.720827999999999</v>
      </c>
      <c r="H472" s="23">
        <f>+G472*0.01</f>
        <v>0.13720827999999999</v>
      </c>
      <c r="I472" s="23">
        <v>0</v>
      </c>
      <c r="J472" s="23">
        <f>((44+31)*1000)/1000000</f>
        <v>7.4999999999999997E-2</v>
      </c>
      <c r="K472" s="23">
        <f>+G472*(10/100)</f>
        <v>1.3720828</v>
      </c>
      <c r="L472" s="45">
        <v>0</v>
      </c>
      <c r="M472" s="23">
        <f>((439+306)*1000)/1000000</f>
        <v>0.745</v>
      </c>
      <c r="N472" s="23">
        <f t="shared" si="64"/>
        <v>1.5092910800000001</v>
      </c>
      <c r="O472" s="23">
        <f t="shared" si="59"/>
        <v>0.82</v>
      </c>
      <c r="P472" s="23">
        <f t="shared" si="58"/>
        <v>0.68929108000000017</v>
      </c>
      <c r="Q472" s="121" t="s">
        <v>48</v>
      </c>
      <c r="R472" s="9" t="s">
        <v>150</v>
      </c>
      <c r="S472" s="10" t="s">
        <v>282</v>
      </c>
      <c r="T472" s="10" t="s">
        <v>283</v>
      </c>
      <c r="U472" s="10"/>
      <c r="V472" s="10"/>
      <c r="W472" s="10"/>
      <c r="X472" s="10"/>
      <c r="Y472" s="10"/>
      <c r="Z472" s="10"/>
      <c r="AA472" s="10"/>
      <c r="AB472" s="10"/>
      <c r="AC472" s="10"/>
    </row>
    <row r="473" spans="1:29" s="7" customFormat="1" ht="408.95" customHeight="1" thickBot="1" x14ac:dyDescent="0.8">
      <c r="A473" s="394">
        <v>469</v>
      </c>
      <c r="B473" s="414" t="s">
        <v>751</v>
      </c>
      <c r="C473" s="414" t="s">
        <v>511</v>
      </c>
      <c r="D473" s="416">
        <v>21529050390</v>
      </c>
      <c r="E473" s="20" t="s">
        <v>18</v>
      </c>
      <c r="F473" s="20">
        <v>1.5</v>
      </c>
      <c r="G473" s="23">
        <v>5.531625</v>
      </c>
      <c r="H473" s="23">
        <f>+G473*0.005</f>
        <v>2.7658125000000002E-2</v>
      </c>
      <c r="I473" s="23">
        <v>0</v>
      </c>
      <c r="J473" s="23">
        <v>0</v>
      </c>
      <c r="K473" s="23">
        <f>+G473*(8.5/100)</f>
        <v>0.47018812500000001</v>
      </c>
      <c r="L473" s="45">
        <v>0</v>
      </c>
      <c r="M473" s="23">
        <v>0</v>
      </c>
      <c r="N473" s="23">
        <f t="shared" si="64"/>
        <v>0.49784624999999999</v>
      </c>
      <c r="O473" s="23">
        <f t="shared" si="59"/>
        <v>0</v>
      </c>
      <c r="P473" s="23">
        <f t="shared" si="58"/>
        <v>0.49784624999999999</v>
      </c>
      <c r="Q473" s="121" t="s">
        <v>19</v>
      </c>
      <c r="R473" s="9" t="s">
        <v>34</v>
      </c>
      <c r="S473" s="10" t="s">
        <v>344</v>
      </c>
      <c r="T473" s="10"/>
      <c r="U473" s="10"/>
      <c r="V473" s="10"/>
      <c r="W473" s="10"/>
      <c r="X473" s="10"/>
      <c r="Y473" s="10"/>
      <c r="Z473" s="10"/>
      <c r="AA473" s="10"/>
      <c r="AB473" s="10"/>
      <c r="AC473" s="10"/>
    </row>
    <row r="474" spans="1:29" s="7" customFormat="1" ht="408.95" customHeight="1" thickBot="1" x14ac:dyDescent="0.8">
      <c r="A474" s="396"/>
      <c r="B474" s="415"/>
      <c r="C474" s="415"/>
      <c r="D474" s="417"/>
      <c r="E474" s="20" t="s">
        <v>20</v>
      </c>
      <c r="F474" s="20">
        <v>1.5</v>
      </c>
      <c r="G474" s="21">
        <v>11.816628</v>
      </c>
      <c r="H474" s="21">
        <f>+G474*0.005</f>
        <v>5.9083139999999999E-2</v>
      </c>
      <c r="I474" s="21">
        <v>0</v>
      </c>
      <c r="J474" s="21">
        <v>0</v>
      </c>
      <c r="K474" s="21">
        <f>+G474*(8.5/100)</f>
        <v>1.0044133800000001</v>
      </c>
      <c r="L474" s="22">
        <v>0</v>
      </c>
      <c r="M474" s="21">
        <v>0</v>
      </c>
      <c r="N474" s="21">
        <f t="shared" si="64"/>
        <v>1.0634965200000002</v>
      </c>
      <c r="O474" s="21">
        <f t="shared" si="59"/>
        <v>0</v>
      </c>
      <c r="P474" s="21">
        <f t="shared" si="58"/>
        <v>1.0634965200000002</v>
      </c>
      <c r="Q474" s="121" t="s">
        <v>19</v>
      </c>
      <c r="R474" s="9" t="s">
        <v>447</v>
      </c>
      <c r="S474" s="10" t="s">
        <v>344</v>
      </c>
      <c r="T474" s="10"/>
      <c r="U474" s="10"/>
      <c r="V474" s="10"/>
      <c r="W474" s="10"/>
      <c r="X474" s="10"/>
      <c r="Y474" s="10"/>
      <c r="Z474" s="10"/>
      <c r="AA474" s="10"/>
      <c r="AB474" s="10"/>
      <c r="AC474" s="10"/>
    </row>
    <row r="475" spans="1:29" s="7" customFormat="1" ht="317.10000000000002" customHeight="1" thickBot="1" x14ac:dyDescent="0.8">
      <c r="A475" s="20">
        <v>471</v>
      </c>
      <c r="B475" s="414" t="s">
        <v>752</v>
      </c>
      <c r="C475" s="414" t="s">
        <v>511</v>
      </c>
      <c r="D475" s="416">
        <v>410039013420</v>
      </c>
      <c r="E475" s="20" t="s">
        <v>21</v>
      </c>
      <c r="F475" s="20">
        <v>7</v>
      </c>
      <c r="G475" s="20">
        <v>12.020799999999999</v>
      </c>
      <c r="H475" s="23">
        <f>+G475*0.01</f>
        <v>0.120208</v>
      </c>
      <c r="I475" s="23">
        <v>0</v>
      </c>
      <c r="J475" s="23">
        <f>((41+12)*1000/1000000)</f>
        <v>5.2999999999999999E-2</v>
      </c>
      <c r="K475" s="23">
        <f>+G475*(10/100)</f>
        <v>1.20208</v>
      </c>
      <c r="L475" s="45">
        <v>0</v>
      </c>
      <c r="M475" s="23">
        <f>((421+113)*1000/1000000)</f>
        <v>0.53400000000000003</v>
      </c>
      <c r="N475" s="23">
        <f t="shared" si="64"/>
        <v>1.3222880000000001</v>
      </c>
      <c r="O475" s="23">
        <f t="shared" si="59"/>
        <v>0.58700000000000008</v>
      </c>
      <c r="P475" s="23">
        <f t="shared" si="58"/>
        <v>0.73528800000000005</v>
      </c>
      <c r="Q475" s="126" t="s">
        <v>19</v>
      </c>
      <c r="R475" s="64" t="s">
        <v>151</v>
      </c>
      <c r="S475" s="10" t="s">
        <v>282</v>
      </c>
      <c r="T475" s="10" t="s">
        <v>283</v>
      </c>
      <c r="U475" s="10"/>
      <c r="V475" s="10"/>
      <c r="W475" s="10"/>
      <c r="X475" s="10"/>
      <c r="Y475" s="10"/>
      <c r="Z475" s="10"/>
      <c r="AA475" s="10"/>
      <c r="AB475" s="10"/>
      <c r="AC475" s="10"/>
    </row>
    <row r="476" spans="1:29" s="7" customFormat="1" ht="317.10000000000002" customHeight="1" thickTop="1" thickBot="1" x14ac:dyDescent="0.75">
      <c r="A476" s="20">
        <v>472</v>
      </c>
      <c r="B476" s="418"/>
      <c r="C476" s="418"/>
      <c r="D476" s="419"/>
      <c r="E476" s="58" t="s">
        <v>22</v>
      </c>
      <c r="F476" s="58">
        <v>8.5</v>
      </c>
      <c r="G476" s="60">
        <f>26819065/1000000</f>
        <v>26.819064999999998</v>
      </c>
      <c r="H476" s="60">
        <f>+G476*0.02</f>
        <v>0.53638129999999995</v>
      </c>
      <c r="I476" s="60">
        <v>0</v>
      </c>
      <c r="J476" s="60">
        <f>(57*1000)/1000000</f>
        <v>5.7000000000000002E-2</v>
      </c>
      <c r="K476" s="60">
        <f>+G476*(10.5/100)</f>
        <v>2.8160018249999998</v>
      </c>
      <c r="L476" s="61">
        <v>0</v>
      </c>
      <c r="M476" s="60">
        <f>((1852+573+697)*1000)/1000000</f>
        <v>3.1219999999999999</v>
      </c>
      <c r="N476" s="60">
        <f t="shared" si="64"/>
        <v>3.3523831249999998</v>
      </c>
      <c r="O476" s="60">
        <f>I476+J476+L476+M476</f>
        <v>3.1789999999999998</v>
      </c>
      <c r="P476" s="60">
        <f t="shared" si="58"/>
        <v>0.17338312499999997</v>
      </c>
      <c r="Q476" s="66" t="s">
        <v>284</v>
      </c>
      <c r="R476" s="65" t="s">
        <v>152</v>
      </c>
      <c r="S476" s="7" t="s">
        <v>282</v>
      </c>
      <c r="T476" s="7" t="s">
        <v>283</v>
      </c>
    </row>
    <row r="477" spans="1:29" s="7" customFormat="1" ht="317.10000000000002" customHeight="1" thickTop="1" thickBot="1" x14ac:dyDescent="0.75">
      <c r="A477" s="20">
        <v>473</v>
      </c>
      <c r="B477" s="418"/>
      <c r="C477" s="418"/>
      <c r="D477" s="419"/>
      <c r="E477" s="47" t="s">
        <v>24</v>
      </c>
      <c r="F477" s="138">
        <v>8.5</v>
      </c>
      <c r="G477" s="139">
        <v>27.550726000000001</v>
      </c>
      <c r="H477" s="50">
        <f>+G477*(2.75/100)</f>
        <v>0.757644965</v>
      </c>
      <c r="I477" s="50">
        <v>0</v>
      </c>
      <c r="J477" s="148">
        <f>((51+66+47+47+31+79+46+204)*1000)/1000000</f>
        <v>0.57099999999999995</v>
      </c>
      <c r="K477" s="50">
        <f>+G477*(11/100)</f>
        <v>3.03057986</v>
      </c>
      <c r="L477" s="51">
        <v>0</v>
      </c>
      <c r="M477" s="148">
        <f>((277+191+21+410+190+197+425+543+346)*1000)/1000000</f>
        <v>2.6</v>
      </c>
      <c r="N477" s="50">
        <f t="shared" si="64"/>
        <v>3.7882248249999999</v>
      </c>
      <c r="O477" s="50">
        <f>I477+J477+L477+M477</f>
        <v>3.1710000000000003</v>
      </c>
      <c r="P477" s="50">
        <f t="shared" si="58"/>
        <v>0.61722482499999964</v>
      </c>
      <c r="Q477" s="67" t="s">
        <v>496</v>
      </c>
      <c r="R477" s="68" t="s">
        <v>153</v>
      </c>
      <c r="S477" s="7" t="s">
        <v>282</v>
      </c>
      <c r="T477" s="7" t="s">
        <v>283</v>
      </c>
    </row>
    <row r="478" spans="1:29" s="7" customFormat="1" ht="317.10000000000002" customHeight="1" thickTop="1" thickBot="1" x14ac:dyDescent="0.75">
      <c r="A478" s="20">
        <v>474</v>
      </c>
      <c r="B478" s="415"/>
      <c r="C478" s="415"/>
      <c r="D478" s="417"/>
      <c r="E478" s="53" t="s">
        <v>27</v>
      </c>
      <c r="F478" s="140">
        <v>8.5</v>
      </c>
      <c r="G478" s="140">
        <v>31.624044999999999</v>
      </c>
      <c r="H478" s="141">
        <f>+G478*(3.5/100)</f>
        <v>1.106841575</v>
      </c>
      <c r="I478" s="141">
        <v>1.7000000000000001E-2</v>
      </c>
      <c r="J478" s="141">
        <f>((1+69+20+41)*1000)/1000000</f>
        <v>0.13100000000000001</v>
      </c>
      <c r="K478" s="141">
        <f>+G478*(11.5/100)</f>
        <v>3.6367651749999999</v>
      </c>
      <c r="L478" s="142">
        <v>0</v>
      </c>
      <c r="M478" s="141">
        <f>((37+518+123+818+1152)*1000)/1000000</f>
        <v>2.6480000000000001</v>
      </c>
      <c r="N478" s="141">
        <f t="shared" si="64"/>
        <v>4.7436067499999996</v>
      </c>
      <c r="O478" s="141">
        <f>I478+J478+L478+M478</f>
        <v>2.7960000000000003</v>
      </c>
      <c r="P478" s="141">
        <f t="shared" si="58"/>
        <v>1.9476067499999994</v>
      </c>
      <c r="Q478" s="73" t="s">
        <v>497</v>
      </c>
      <c r="R478" s="69" t="s">
        <v>154</v>
      </c>
      <c r="S478" s="7" t="s">
        <v>282</v>
      </c>
      <c r="T478" s="7" t="s">
        <v>283</v>
      </c>
    </row>
    <row r="479" spans="1:29" s="7" customFormat="1" ht="317.10000000000002" customHeight="1" thickTop="1" thickBot="1" x14ac:dyDescent="0.8">
      <c r="A479" s="20">
        <v>475</v>
      </c>
      <c r="B479" s="19" t="s">
        <v>753</v>
      </c>
      <c r="C479" s="19" t="s">
        <v>511</v>
      </c>
      <c r="D479" s="176">
        <v>210579006174</v>
      </c>
      <c r="E479" s="20" t="s">
        <v>20</v>
      </c>
      <c r="F479" s="20">
        <v>2.8</v>
      </c>
      <c r="G479" s="21">
        <v>8.07</v>
      </c>
      <c r="H479" s="21">
        <f>+G479*0.005</f>
        <v>4.0350000000000004E-2</v>
      </c>
      <c r="I479" s="21">
        <v>0</v>
      </c>
      <c r="J479" s="21">
        <f>(17+4+15)*1000/1000000</f>
        <v>3.5999999999999997E-2</v>
      </c>
      <c r="K479" s="21">
        <f>+G479*(8.5/100)</f>
        <v>0.68595000000000006</v>
      </c>
      <c r="L479" s="22">
        <v>0</v>
      </c>
      <c r="M479" s="21">
        <f>(283+80+245)*1000/1000000</f>
        <v>0.60799999999999998</v>
      </c>
      <c r="N479" s="21">
        <f t="shared" si="64"/>
        <v>0.72630000000000006</v>
      </c>
      <c r="O479" s="21">
        <f>+((I479+J479)+(L479+M479))</f>
        <v>0.64400000000000002</v>
      </c>
      <c r="P479" s="21">
        <f t="shared" si="58"/>
        <v>8.230000000000004E-2</v>
      </c>
      <c r="Q479" s="70" t="s">
        <v>284</v>
      </c>
      <c r="R479" s="18" t="s">
        <v>435</v>
      </c>
      <c r="S479" s="10" t="s">
        <v>282</v>
      </c>
      <c r="T479" s="10" t="s">
        <v>283</v>
      </c>
      <c r="U479" s="10"/>
      <c r="V479" s="10"/>
      <c r="W479" s="10"/>
      <c r="X479" s="10"/>
      <c r="Y479" s="10"/>
      <c r="Z479" s="10"/>
      <c r="AA479" s="10"/>
      <c r="AB479" s="10"/>
      <c r="AC479" s="10"/>
    </row>
    <row r="480" spans="1:29" s="7" customFormat="1" ht="317.10000000000002" customHeight="1" thickTop="1" thickBot="1" x14ac:dyDescent="0.8">
      <c r="A480" s="20">
        <v>476</v>
      </c>
      <c r="B480" s="414" t="s">
        <v>754</v>
      </c>
      <c r="C480" s="414" t="s">
        <v>511</v>
      </c>
      <c r="D480" s="416">
        <v>331569004752</v>
      </c>
      <c r="E480" s="20" t="s">
        <v>18</v>
      </c>
      <c r="F480" s="20">
        <v>18</v>
      </c>
      <c r="G480" s="23">
        <v>50.135005999999997</v>
      </c>
      <c r="H480" s="23">
        <f>+G480*0.005</f>
        <v>0.25067502999999997</v>
      </c>
      <c r="I480" s="23">
        <v>0</v>
      </c>
      <c r="J480" s="23">
        <v>0.185</v>
      </c>
      <c r="K480" s="23">
        <f>+G480*(8.5/100)</f>
        <v>4.2614755100000004</v>
      </c>
      <c r="L480" s="45">
        <v>0</v>
      </c>
      <c r="M480" s="23">
        <v>2.25</v>
      </c>
      <c r="N480" s="23">
        <f t="shared" si="64"/>
        <v>4.5121505400000004</v>
      </c>
      <c r="O480" s="23">
        <f>+((I480+J480)+(L480+M480))</f>
        <v>2.4350000000000001</v>
      </c>
      <c r="P480" s="23">
        <f t="shared" si="58"/>
        <v>2.0771505400000003</v>
      </c>
      <c r="Q480" s="70" t="s">
        <v>284</v>
      </c>
      <c r="R480" s="18" t="s">
        <v>286</v>
      </c>
      <c r="S480" s="30" t="s">
        <v>282</v>
      </c>
      <c r="T480" s="30" t="s">
        <v>283</v>
      </c>
      <c r="U480" s="30"/>
      <c r="V480" s="30"/>
      <c r="W480" s="30"/>
      <c r="X480" s="30"/>
      <c r="Y480" s="30"/>
      <c r="Z480" s="30"/>
      <c r="AA480" s="30"/>
      <c r="AB480" s="30"/>
      <c r="AC480" s="30"/>
    </row>
    <row r="481" spans="1:29" s="7" customFormat="1" ht="317.10000000000002" customHeight="1" thickTop="1" thickBot="1" x14ac:dyDescent="0.8">
      <c r="A481" s="20">
        <v>477</v>
      </c>
      <c r="B481" s="418"/>
      <c r="C481" s="418"/>
      <c r="D481" s="419"/>
      <c r="E481" s="20" t="s">
        <v>20</v>
      </c>
      <c r="F481" s="153">
        <v>18</v>
      </c>
      <c r="G481" s="21">
        <v>70.936103000000003</v>
      </c>
      <c r="H481" s="21">
        <f>+G481*0.005</f>
        <v>0.35468051500000003</v>
      </c>
      <c r="I481" s="21">
        <v>0</v>
      </c>
      <c r="J481" s="21">
        <f>((79+79+87+93)*1000)/1000000</f>
        <v>0.33800000000000002</v>
      </c>
      <c r="K481" s="21">
        <f>+G481*(8.5/100)</f>
        <v>6.0295687550000006</v>
      </c>
      <c r="L481" s="22">
        <v>0</v>
      </c>
      <c r="M481" s="21">
        <f>((1351+1349+1478+1572)*1000)/1000000</f>
        <v>5.75</v>
      </c>
      <c r="N481" s="21">
        <f>+H481+K481</f>
        <v>6.3842492700000006</v>
      </c>
      <c r="O481" s="21">
        <f>+((I481+J481)+(L481+M481))</f>
        <v>6.0880000000000001</v>
      </c>
      <c r="P481" s="21">
        <f>+N481-O481</f>
        <v>0.29624927000000056</v>
      </c>
      <c r="Q481" s="70" t="s">
        <v>284</v>
      </c>
      <c r="R481" s="18" t="s">
        <v>371</v>
      </c>
      <c r="S481" s="10" t="s">
        <v>282</v>
      </c>
      <c r="T481" s="10" t="s">
        <v>283</v>
      </c>
      <c r="U481" s="10"/>
      <c r="V481" s="10"/>
      <c r="W481" s="10"/>
      <c r="X481" s="10"/>
      <c r="Y481" s="10"/>
      <c r="Z481" s="10"/>
      <c r="AA481" s="10"/>
      <c r="AB481" s="10"/>
      <c r="AC481" s="10"/>
    </row>
    <row r="482" spans="1:29" s="7" customFormat="1" ht="317.10000000000002" customHeight="1" thickTop="1" thickBot="1" x14ac:dyDescent="0.8">
      <c r="A482" s="20">
        <v>478</v>
      </c>
      <c r="B482" s="418"/>
      <c r="C482" s="418"/>
      <c r="D482" s="419"/>
      <c r="E482" s="20" t="s">
        <v>21</v>
      </c>
      <c r="F482" s="20">
        <v>10</v>
      </c>
      <c r="G482" s="20">
        <v>62.895420999999999</v>
      </c>
      <c r="H482" s="23">
        <f>+G482*0.01</f>
        <v>0.62895420999999996</v>
      </c>
      <c r="I482" s="23">
        <v>0.44</v>
      </c>
      <c r="J482" s="23">
        <f>((151)*1000/1000000)</f>
        <v>0.151</v>
      </c>
      <c r="K482" s="23">
        <f>+G482*(10/100)</f>
        <v>6.2895421000000002</v>
      </c>
      <c r="L482" s="45">
        <v>3.3119999999999998</v>
      </c>
      <c r="M482" s="23">
        <v>0</v>
      </c>
      <c r="N482" s="23">
        <f>+H482+K482</f>
        <v>6.9184963100000001</v>
      </c>
      <c r="O482" s="23">
        <f>+((I482+J482)+(L482+M482))</f>
        <v>3.9029999999999996</v>
      </c>
      <c r="P482" s="23">
        <f>+N482-O482</f>
        <v>3.0154963100000005</v>
      </c>
      <c r="Q482" s="70" t="s">
        <v>284</v>
      </c>
      <c r="R482" s="18" t="s">
        <v>482</v>
      </c>
      <c r="S482" s="10" t="s">
        <v>282</v>
      </c>
      <c r="T482" s="10" t="s">
        <v>283</v>
      </c>
      <c r="U482" s="10"/>
      <c r="V482" s="10"/>
      <c r="W482" s="10"/>
      <c r="X482" s="10"/>
      <c r="Y482" s="10"/>
      <c r="Z482" s="10"/>
      <c r="AA482" s="10"/>
      <c r="AB482" s="10"/>
      <c r="AC482" s="10"/>
    </row>
    <row r="483" spans="1:29" s="7" customFormat="1" ht="317.10000000000002" customHeight="1" thickTop="1" thickBot="1" x14ac:dyDescent="0.75">
      <c r="A483" s="20">
        <v>479</v>
      </c>
      <c r="B483" s="418"/>
      <c r="C483" s="418"/>
      <c r="D483" s="419"/>
      <c r="E483" s="58" t="s">
        <v>22</v>
      </c>
      <c r="F483" s="58">
        <v>13</v>
      </c>
      <c r="G483" s="60">
        <f>65732272/1000000</f>
        <v>65.732271999999995</v>
      </c>
      <c r="H483" s="60">
        <f>+G483*0.02</f>
        <v>1.3146454399999998</v>
      </c>
      <c r="I483" s="60">
        <v>0</v>
      </c>
      <c r="J483" s="60">
        <v>0</v>
      </c>
      <c r="K483" s="60">
        <f>+G483*(10.5/100)</f>
        <v>6.9018885599999988</v>
      </c>
      <c r="L483" s="61">
        <v>0</v>
      </c>
      <c r="M483" s="60">
        <f>((2508+4901+1508)*1000)/1000000</f>
        <v>8.9169999999999998</v>
      </c>
      <c r="N483" s="60">
        <f>+H483+K483</f>
        <v>8.2165339999999993</v>
      </c>
      <c r="O483" s="60">
        <f>I483+J483+L483+M483</f>
        <v>8.9169999999999998</v>
      </c>
      <c r="P483" s="60">
        <f>+N483-O483</f>
        <v>-0.70046600000000048</v>
      </c>
      <c r="Q483" s="127" t="s">
        <v>284</v>
      </c>
      <c r="R483" s="65" t="s">
        <v>152</v>
      </c>
      <c r="S483" s="7" t="s">
        <v>282</v>
      </c>
      <c r="T483" s="7" t="s">
        <v>310</v>
      </c>
    </row>
    <row r="484" spans="1:29" s="7" customFormat="1" ht="317.10000000000002" customHeight="1" thickTop="1" thickBot="1" x14ac:dyDescent="0.75">
      <c r="A484" s="20">
        <v>480</v>
      </c>
      <c r="B484" s="418"/>
      <c r="C484" s="418"/>
      <c r="D484" s="419"/>
      <c r="E484" s="47" t="s">
        <v>24</v>
      </c>
      <c r="F484" s="47">
        <v>13</v>
      </c>
      <c r="G484" s="143">
        <v>58.490825000000001</v>
      </c>
      <c r="H484" s="50">
        <f>+G484*(2.75/100)</f>
        <v>1.6084976875000001</v>
      </c>
      <c r="I484" s="148">
        <v>0</v>
      </c>
      <c r="J484" s="148">
        <f>((10+426)*1000)/1000000</f>
        <v>0.436</v>
      </c>
      <c r="K484" s="50">
        <f>+G484*(11/100)</f>
        <v>6.4339907500000004</v>
      </c>
      <c r="L484" s="51">
        <v>0</v>
      </c>
      <c r="M484" s="50">
        <f>((0+976+53+952+479+413+1031+639+1001+609)*1000)/1000000</f>
        <v>6.1529999999999996</v>
      </c>
      <c r="N484" s="50">
        <f>+H484+K484</f>
        <v>8.0424884375000012</v>
      </c>
      <c r="O484" s="50">
        <f>I484+J484+L484+M484</f>
        <v>6.5889999999999995</v>
      </c>
      <c r="P484" s="50">
        <f>+N484-O484</f>
        <v>1.4534884375000017</v>
      </c>
      <c r="Q484" s="67" t="s">
        <v>496</v>
      </c>
      <c r="R484" s="68" t="s">
        <v>155</v>
      </c>
      <c r="S484" s="7" t="s">
        <v>282</v>
      </c>
      <c r="T484" s="7" t="s">
        <v>283</v>
      </c>
    </row>
    <row r="485" spans="1:29" s="7" customFormat="1" ht="317.10000000000002" customHeight="1" thickTop="1" thickBot="1" x14ac:dyDescent="0.75">
      <c r="A485" s="20">
        <v>481</v>
      </c>
      <c r="B485" s="415"/>
      <c r="C485" s="415"/>
      <c r="D485" s="417"/>
      <c r="E485" s="53" t="s">
        <v>27</v>
      </c>
      <c r="F485" s="140">
        <v>13</v>
      </c>
      <c r="G485" s="140">
        <v>63.933100000000003</v>
      </c>
      <c r="H485" s="141">
        <f>+G485*(3.5/100)</f>
        <v>2.2376585000000002</v>
      </c>
      <c r="I485" s="141">
        <v>0.23699999999999999</v>
      </c>
      <c r="J485" s="141">
        <f>((11+42+15)*1000)/1000000</f>
        <v>6.8000000000000005E-2</v>
      </c>
      <c r="K485" s="141">
        <f>+G485*(11.5/100)</f>
        <v>7.352306500000001</v>
      </c>
      <c r="L485" s="142">
        <v>0</v>
      </c>
      <c r="M485" s="141">
        <f>((49+893+1450+2801)*1000)/1000000</f>
        <v>5.1929999999999996</v>
      </c>
      <c r="N485" s="141">
        <f t="shared" si="64"/>
        <v>9.5899650000000012</v>
      </c>
      <c r="O485" s="54">
        <f>I485+J485+L485+M485</f>
        <v>5.4979999999999993</v>
      </c>
      <c r="P485" s="54">
        <f t="shared" si="58"/>
        <v>4.0919650000000019</v>
      </c>
      <c r="Q485" s="73" t="s">
        <v>497</v>
      </c>
      <c r="R485" s="74" t="s">
        <v>156</v>
      </c>
      <c r="S485" s="7" t="s">
        <v>282</v>
      </c>
      <c r="T485" s="7" t="s">
        <v>283</v>
      </c>
    </row>
    <row r="486" spans="1:29" s="7" customFormat="1" ht="317.10000000000002" customHeight="1" thickTop="1" thickBot="1" x14ac:dyDescent="0.8">
      <c r="A486" s="20">
        <v>482</v>
      </c>
      <c r="B486" s="414" t="s">
        <v>755</v>
      </c>
      <c r="C486" s="414" t="s">
        <v>511</v>
      </c>
      <c r="D486" s="416">
        <v>221029002025</v>
      </c>
      <c r="E486" s="20" t="s">
        <v>18</v>
      </c>
      <c r="F486" s="20">
        <v>11</v>
      </c>
      <c r="G486" s="23">
        <v>4.3912000000000004</v>
      </c>
      <c r="H486" s="23">
        <f t="shared" ref="H486:H497" si="67">+G486*0.005</f>
        <v>2.1956000000000003E-2</v>
      </c>
      <c r="I486" s="23">
        <v>0</v>
      </c>
      <c r="J486" s="23">
        <v>0</v>
      </c>
      <c r="K486" s="23">
        <f t="shared" ref="K486:K497" si="68">+G486*(8.5/100)</f>
        <v>0.37325200000000008</v>
      </c>
      <c r="L486" s="45">
        <v>0</v>
      </c>
      <c r="M486" s="23">
        <v>0</v>
      </c>
      <c r="N486" s="23">
        <f t="shared" si="64"/>
        <v>0.39520800000000011</v>
      </c>
      <c r="O486" s="23">
        <f t="shared" ref="O486:O521" si="69">+((I486+J486)+(L486+M486))</f>
        <v>0</v>
      </c>
      <c r="P486" s="23">
        <f t="shared" si="58"/>
        <v>0.39520800000000011</v>
      </c>
      <c r="Q486" s="70" t="s">
        <v>19</v>
      </c>
      <c r="R486" s="18" t="s">
        <v>346</v>
      </c>
      <c r="S486" s="10" t="s">
        <v>344</v>
      </c>
      <c r="T486" s="10"/>
      <c r="U486" s="10"/>
      <c r="V486" s="10"/>
      <c r="W486" s="10"/>
      <c r="X486" s="10"/>
      <c r="Y486" s="10"/>
      <c r="Z486" s="10"/>
      <c r="AA486" s="10"/>
      <c r="AB486" s="10"/>
      <c r="AC486" s="10"/>
    </row>
    <row r="487" spans="1:29" s="7" customFormat="1" ht="317.10000000000002" customHeight="1" thickTop="1" thickBot="1" x14ac:dyDescent="0.8">
      <c r="A487" s="20">
        <v>483</v>
      </c>
      <c r="B487" s="415"/>
      <c r="C487" s="415"/>
      <c r="D487" s="417"/>
      <c r="E487" s="20" t="s">
        <v>20</v>
      </c>
      <c r="F487" s="20">
        <v>3</v>
      </c>
      <c r="G487" s="21">
        <v>9.2630999999999997</v>
      </c>
      <c r="H487" s="21">
        <f t="shared" si="67"/>
        <v>4.6315500000000003E-2</v>
      </c>
      <c r="I487" s="21">
        <v>0</v>
      </c>
      <c r="J487" s="21">
        <f>(59)*1000/1000000</f>
        <v>5.8999999999999997E-2</v>
      </c>
      <c r="K487" s="21">
        <f t="shared" si="68"/>
        <v>0.78736349999999999</v>
      </c>
      <c r="L487" s="22">
        <v>0</v>
      </c>
      <c r="M487" s="21">
        <f>(1018)*1000/1000000</f>
        <v>1.018</v>
      </c>
      <c r="N487" s="21">
        <f t="shared" si="64"/>
        <v>0.83367899999999995</v>
      </c>
      <c r="O487" s="21">
        <f t="shared" si="69"/>
        <v>1.077</v>
      </c>
      <c r="P487" s="21">
        <f t="shared" si="58"/>
        <v>-0.24332100000000001</v>
      </c>
      <c r="Q487" s="77" t="s">
        <v>284</v>
      </c>
      <c r="R487" s="75" t="s">
        <v>426</v>
      </c>
      <c r="S487" s="10" t="s">
        <v>282</v>
      </c>
      <c r="T487" s="10" t="s">
        <v>310</v>
      </c>
      <c r="U487" s="10"/>
      <c r="V487" s="10"/>
      <c r="W487" s="10"/>
      <c r="X487" s="10"/>
      <c r="Y487" s="10"/>
      <c r="Z487" s="10"/>
      <c r="AA487" s="10"/>
      <c r="AB487" s="10"/>
      <c r="AC487" s="10"/>
    </row>
    <row r="488" spans="1:29" s="7" customFormat="1" ht="317.10000000000002" customHeight="1" thickTop="1" thickBot="1" x14ac:dyDescent="0.8">
      <c r="A488" s="20">
        <v>484</v>
      </c>
      <c r="B488" s="414" t="s">
        <v>756</v>
      </c>
      <c r="C488" s="414" t="s">
        <v>511</v>
      </c>
      <c r="D488" s="416">
        <v>31699019499</v>
      </c>
      <c r="E488" s="20" t="s">
        <v>18</v>
      </c>
      <c r="F488" s="20">
        <v>2.2000000000000002</v>
      </c>
      <c r="G488" s="23">
        <v>19.06859</v>
      </c>
      <c r="H488" s="23">
        <f>+G488*0.005</f>
        <v>9.534295000000001E-2</v>
      </c>
      <c r="I488" s="23">
        <v>0</v>
      </c>
      <c r="J488" s="23">
        <v>0</v>
      </c>
      <c r="K488" s="23">
        <f>+G488*(8.5/100)</f>
        <v>1.6208301500000002</v>
      </c>
      <c r="L488" s="45">
        <v>0</v>
      </c>
      <c r="M488" s="23">
        <v>0</v>
      </c>
      <c r="N488" s="23">
        <f>+H488+K488</f>
        <v>1.7161731000000002</v>
      </c>
      <c r="O488" s="23">
        <f>+((I488+J488)+(L488+M488))</f>
        <v>0</v>
      </c>
      <c r="P488" s="23">
        <f>+N488-O488</f>
        <v>1.7161731000000002</v>
      </c>
      <c r="Q488" s="128" t="s">
        <v>19</v>
      </c>
      <c r="R488" s="75" t="s">
        <v>346</v>
      </c>
      <c r="S488" s="10" t="s">
        <v>344</v>
      </c>
      <c r="T488" s="10"/>
      <c r="U488" s="10"/>
      <c r="V488" s="10"/>
      <c r="W488" s="10"/>
      <c r="X488" s="10"/>
      <c r="Y488" s="10"/>
      <c r="Z488" s="10"/>
      <c r="AA488" s="10"/>
      <c r="AB488" s="10"/>
      <c r="AC488" s="10"/>
    </row>
    <row r="489" spans="1:29" s="7" customFormat="1" ht="317.10000000000002" customHeight="1" thickTop="1" thickBot="1" x14ac:dyDescent="0.8">
      <c r="A489" s="20">
        <v>485</v>
      </c>
      <c r="B489" s="415"/>
      <c r="C489" s="415"/>
      <c r="D489" s="417"/>
      <c r="E489" s="20" t="s">
        <v>20</v>
      </c>
      <c r="F489" s="20">
        <v>3</v>
      </c>
      <c r="G489" s="21">
        <v>16.181550000000001</v>
      </c>
      <c r="H489" s="21">
        <f t="shared" si="67"/>
        <v>8.0907750000000014E-2</v>
      </c>
      <c r="I489" s="21">
        <v>0</v>
      </c>
      <c r="J489" s="21">
        <v>0</v>
      </c>
      <c r="K489" s="21">
        <f t="shared" si="68"/>
        <v>1.3754317500000002</v>
      </c>
      <c r="L489" s="22">
        <v>0</v>
      </c>
      <c r="M489" s="21">
        <v>0</v>
      </c>
      <c r="N489" s="21">
        <f t="shared" si="64"/>
        <v>1.4563395000000001</v>
      </c>
      <c r="O489" s="21">
        <f t="shared" si="69"/>
        <v>0</v>
      </c>
      <c r="P489" s="21">
        <f t="shared" si="58"/>
        <v>1.4563395000000001</v>
      </c>
      <c r="Q489" s="70" t="s">
        <v>19</v>
      </c>
      <c r="R489" s="18" t="s">
        <v>29</v>
      </c>
      <c r="S489" s="10" t="s">
        <v>344</v>
      </c>
      <c r="T489" s="10"/>
      <c r="U489" s="10"/>
      <c r="V489" s="10"/>
      <c r="W489" s="10"/>
      <c r="X489" s="10"/>
      <c r="Y489" s="10"/>
      <c r="Z489" s="10"/>
      <c r="AA489" s="10"/>
      <c r="AB489" s="10"/>
      <c r="AC489" s="10"/>
    </row>
    <row r="490" spans="1:29" s="7" customFormat="1" ht="317.10000000000002" customHeight="1" thickTop="1" thickBot="1" x14ac:dyDescent="0.8">
      <c r="A490" s="20">
        <v>486</v>
      </c>
      <c r="B490" s="19" t="s">
        <v>757</v>
      </c>
      <c r="C490" s="19" t="s">
        <v>511</v>
      </c>
      <c r="D490" s="176">
        <v>490019041270</v>
      </c>
      <c r="E490" s="20" t="s">
        <v>18</v>
      </c>
      <c r="F490" s="20">
        <v>0.95</v>
      </c>
      <c r="G490" s="23">
        <v>2.2309589999999999</v>
      </c>
      <c r="H490" s="23">
        <f t="shared" si="67"/>
        <v>1.1154795E-2</v>
      </c>
      <c r="I490" s="23">
        <v>0</v>
      </c>
      <c r="J490" s="23">
        <v>0</v>
      </c>
      <c r="K490" s="23">
        <f t="shared" si="68"/>
        <v>0.189631515</v>
      </c>
      <c r="L490" s="45">
        <v>0</v>
      </c>
      <c r="M490" s="23">
        <v>0</v>
      </c>
      <c r="N490" s="23">
        <f t="shared" si="64"/>
        <v>0.20078631</v>
      </c>
      <c r="O490" s="23">
        <f t="shared" si="69"/>
        <v>0</v>
      </c>
      <c r="P490" s="23">
        <f t="shared" si="58"/>
        <v>0.20078631</v>
      </c>
      <c r="Q490" s="129" t="s">
        <v>19</v>
      </c>
      <c r="R490" s="18" t="s">
        <v>346</v>
      </c>
      <c r="S490" s="10" t="s">
        <v>344</v>
      </c>
      <c r="T490" s="10"/>
      <c r="U490" s="10"/>
      <c r="V490" s="10"/>
      <c r="W490" s="10"/>
      <c r="X490" s="10"/>
      <c r="Y490" s="10"/>
      <c r="Z490" s="10"/>
      <c r="AA490" s="10"/>
      <c r="AB490" s="10"/>
      <c r="AC490" s="10"/>
    </row>
    <row r="491" spans="1:29" s="7" customFormat="1" ht="317.10000000000002" customHeight="1" thickTop="1" thickBot="1" x14ac:dyDescent="0.8">
      <c r="A491" s="20">
        <v>487</v>
      </c>
      <c r="B491" s="414" t="s">
        <v>758</v>
      </c>
      <c r="C491" s="414" t="s">
        <v>511</v>
      </c>
      <c r="D491" s="416">
        <v>181739031530</v>
      </c>
      <c r="E491" s="20" t="s">
        <v>18</v>
      </c>
      <c r="F491" s="20">
        <v>1</v>
      </c>
      <c r="G491" s="23">
        <v>7.906555</v>
      </c>
      <c r="H491" s="23">
        <f t="shared" si="67"/>
        <v>3.9532774999999999E-2</v>
      </c>
      <c r="I491" s="23">
        <v>0</v>
      </c>
      <c r="J491" s="23">
        <v>0</v>
      </c>
      <c r="K491" s="23">
        <f t="shared" si="68"/>
        <v>0.67205717500000006</v>
      </c>
      <c r="L491" s="45">
        <v>0</v>
      </c>
      <c r="M491" s="23">
        <v>0</v>
      </c>
      <c r="N491" s="23">
        <f t="shared" si="64"/>
        <v>0.71158995000000003</v>
      </c>
      <c r="O491" s="23">
        <f t="shared" si="69"/>
        <v>0</v>
      </c>
      <c r="P491" s="23">
        <f t="shared" si="58"/>
        <v>0.71158995000000003</v>
      </c>
      <c r="Q491" s="70" t="s">
        <v>19</v>
      </c>
      <c r="R491" s="18" t="s">
        <v>346</v>
      </c>
      <c r="S491" s="10" t="s">
        <v>344</v>
      </c>
      <c r="T491" s="10"/>
      <c r="U491" s="10"/>
      <c r="V491" s="10"/>
      <c r="W491" s="10"/>
      <c r="X491" s="10"/>
      <c r="Y491" s="10"/>
      <c r="Z491" s="10"/>
      <c r="AA491" s="10"/>
      <c r="AB491" s="10"/>
      <c r="AC491" s="10"/>
    </row>
    <row r="492" spans="1:29" s="7" customFormat="1" ht="317.10000000000002" customHeight="1" thickTop="1" thickBot="1" x14ac:dyDescent="0.8">
      <c r="A492" s="20"/>
      <c r="B492" s="415"/>
      <c r="C492" s="415"/>
      <c r="D492" s="417"/>
      <c r="E492" s="20" t="s">
        <v>20</v>
      </c>
      <c r="F492" s="20">
        <v>1</v>
      </c>
      <c r="G492" s="21">
        <v>8.2743450000000003</v>
      </c>
      <c r="H492" s="21">
        <f t="shared" si="67"/>
        <v>4.1371725000000005E-2</v>
      </c>
      <c r="I492" s="21">
        <v>0</v>
      </c>
      <c r="J492" s="21">
        <f>(((42)*1000)/1000000)</f>
        <v>4.2000000000000003E-2</v>
      </c>
      <c r="K492" s="21">
        <f t="shared" si="68"/>
        <v>0.70331932500000005</v>
      </c>
      <c r="L492" s="22">
        <v>0</v>
      </c>
      <c r="M492" s="21">
        <f>(((704)*1000)/1000000)</f>
        <v>0.70399999999999996</v>
      </c>
      <c r="N492" s="21">
        <f t="shared" si="64"/>
        <v>0.74469105000000002</v>
      </c>
      <c r="O492" s="21">
        <f t="shared" si="69"/>
        <v>0.746</v>
      </c>
      <c r="P492" s="21">
        <f t="shared" ref="P492:P521" si="70">+N492-O492</f>
        <v>-1.3089499999999754E-3</v>
      </c>
      <c r="Q492" s="77" t="s">
        <v>284</v>
      </c>
      <c r="R492" s="75" t="s">
        <v>356</v>
      </c>
      <c r="S492" s="10" t="s">
        <v>282</v>
      </c>
      <c r="T492" s="10" t="s">
        <v>310</v>
      </c>
      <c r="U492" s="10"/>
      <c r="V492" s="10"/>
      <c r="W492" s="10"/>
      <c r="X492" s="10"/>
      <c r="Y492" s="10"/>
      <c r="Z492" s="10"/>
      <c r="AA492" s="10"/>
      <c r="AB492" s="10"/>
      <c r="AC492" s="10"/>
    </row>
    <row r="493" spans="1:29" s="7" customFormat="1" ht="317.10000000000002" customHeight="1" thickTop="1" thickBot="1" x14ac:dyDescent="0.8">
      <c r="A493" s="394">
        <v>489</v>
      </c>
      <c r="B493" s="414" t="s">
        <v>759</v>
      </c>
      <c r="C493" s="414" t="s">
        <v>511</v>
      </c>
      <c r="D493" s="416">
        <v>184059034740</v>
      </c>
      <c r="E493" s="20" t="s">
        <v>18</v>
      </c>
      <c r="F493" s="20">
        <v>1</v>
      </c>
      <c r="G493" s="44">
        <v>7.6922360000000003</v>
      </c>
      <c r="H493" s="23">
        <f>+G493*0.005</f>
        <v>3.8461180000000005E-2</v>
      </c>
      <c r="I493" s="23">
        <v>0</v>
      </c>
      <c r="J493" s="23">
        <v>0</v>
      </c>
      <c r="K493" s="23">
        <f>+G493*(8.5/100)</f>
        <v>0.65384006000000006</v>
      </c>
      <c r="L493" s="45">
        <v>0</v>
      </c>
      <c r="M493" s="23">
        <v>0</v>
      </c>
      <c r="N493" s="23">
        <f>+H493+K493</f>
        <v>0.69230124000000004</v>
      </c>
      <c r="O493" s="23">
        <f>+((I493+J493)+(L493+M493))</f>
        <v>0</v>
      </c>
      <c r="P493" s="23">
        <f>+N493-O493</f>
        <v>0.69230124000000004</v>
      </c>
      <c r="Q493" s="76" t="s">
        <v>284</v>
      </c>
      <c r="R493" s="18" t="s">
        <v>331</v>
      </c>
      <c r="S493" s="10" t="s">
        <v>282</v>
      </c>
      <c r="T493" s="10" t="s">
        <v>283</v>
      </c>
      <c r="U493" s="10"/>
      <c r="V493" s="10"/>
      <c r="W493" s="10"/>
      <c r="X493" s="10"/>
      <c r="Y493" s="10"/>
      <c r="Z493" s="10"/>
      <c r="AA493" s="10"/>
      <c r="AB493" s="10"/>
      <c r="AC493" s="10"/>
    </row>
    <row r="494" spans="1:29" s="7" customFormat="1" ht="317.10000000000002" customHeight="1" thickTop="1" thickBot="1" x14ac:dyDescent="0.8">
      <c r="A494" s="396"/>
      <c r="B494" s="415"/>
      <c r="C494" s="415"/>
      <c r="D494" s="417"/>
      <c r="E494" s="20" t="s">
        <v>20</v>
      </c>
      <c r="F494" s="20">
        <v>1</v>
      </c>
      <c r="G494" s="21">
        <v>9.3474339999999998</v>
      </c>
      <c r="H494" s="21">
        <f t="shared" si="67"/>
        <v>4.6737170000000001E-2</v>
      </c>
      <c r="I494" s="21">
        <v>0</v>
      </c>
      <c r="J494" s="21">
        <f>((47)*1000)/1000000</f>
        <v>4.7E-2</v>
      </c>
      <c r="K494" s="21">
        <f t="shared" si="68"/>
        <v>0.79453189000000002</v>
      </c>
      <c r="L494" s="22">
        <v>0</v>
      </c>
      <c r="M494" s="21">
        <f>((795)*1000)/1000000</f>
        <v>0.79500000000000004</v>
      </c>
      <c r="N494" s="21">
        <f t="shared" si="64"/>
        <v>0.84126906000000001</v>
      </c>
      <c r="O494" s="21">
        <f t="shared" si="69"/>
        <v>0.84200000000000008</v>
      </c>
      <c r="P494" s="21">
        <f t="shared" si="70"/>
        <v>-7.3094000000006876E-4</v>
      </c>
      <c r="Q494" s="70" t="s">
        <v>305</v>
      </c>
      <c r="R494" s="18" t="s">
        <v>382</v>
      </c>
      <c r="S494" s="10" t="s">
        <v>282</v>
      </c>
      <c r="T494" s="10" t="s">
        <v>310</v>
      </c>
      <c r="U494" s="10"/>
      <c r="V494" s="10"/>
      <c r="W494" s="10"/>
      <c r="X494" s="10"/>
      <c r="Y494" s="10"/>
      <c r="Z494" s="10"/>
      <c r="AA494" s="10"/>
      <c r="AB494" s="10"/>
      <c r="AC494" s="10"/>
    </row>
    <row r="495" spans="1:29" s="7" customFormat="1" ht="317.10000000000002" customHeight="1" thickTop="1" thickBot="1" x14ac:dyDescent="0.8">
      <c r="A495" s="394">
        <v>491</v>
      </c>
      <c r="B495" s="414" t="s">
        <v>157</v>
      </c>
      <c r="C495" s="414" t="s">
        <v>511</v>
      </c>
      <c r="D495" s="416">
        <v>31709017686</v>
      </c>
      <c r="E495" s="20" t="s">
        <v>20</v>
      </c>
      <c r="F495" s="20">
        <v>2.2000000000000002</v>
      </c>
      <c r="G495" s="21">
        <v>9.8913019999999996</v>
      </c>
      <c r="H495" s="21">
        <f t="shared" si="67"/>
        <v>4.9456510000000002E-2</v>
      </c>
      <c r="I495" s="21">
        <v>0</v>
      </c>
      <c r="J495" s="21">
        <f>((43)*1000/1000000)</f>
        <v>4.2999999999999997E-2</v>
      </c>
      <c r="K495" s="21">
        <f t="shared" si="68"/>
        <v>0.84076066999999999</v>
      </c>
      <c r="L495" s="22">
        <v>0</v>
      </c>
      <c r="M495" s="21">
        <f>((727)*1000/1000000)</f>
        <v>0.72699999999999998</v>
      </c>
      <c r="N495" s="21">
        <f t="shared" si="64"/>
        <v>0.89021717999999994</v>
      </c>
      <c r="O495" s="21">
        <f t="shared" si="69"/>
        <v>0.77</v>
      </c>
      <c r="P495" s="21">
        <f t="shared" si="70"/>
        <v>0.12021717999999992</v>
      </c>
      <c r="Q495" s="78" t="s">
        <v>284</v>
      </c>
      <c r="R495" s="79" t="s">
        <v>355</v>
      </c>
      <c r="S495" s="10" t="s">
        <v>282</v>
      </c>
      <c r="T495" s="10" t="s">
        <v>283</v>
      </c>
      <c r="U495" s="10"/>
      <c r="V495" s="10"/>
      <c r="W495" s="10"/>
      <c r="X495" s="10"/>
      <c r="Y495" s="10"/>
      <c r="Z495" s="10"/>
      <c r="AA495" s="10"/>
      <c r="AB495" s="10"/>
      <c r="AC495" s="10"/>
    </row>
    <row r="496" spans="1:29" s="7" customFormat="1" ht="317.10000000000002" customHeight="1" thickTop="1" thickBot="1" x14ac:dyDescent="0.8">
      <c r="A496" s="396"/>
      <c r="B496" s="415"/>
      <c r="C496" s="415"/>
      <c r="D496" s="417"/>
      <c r="E496" s="20" t="s">
        <v>18</v>
      </c>
      <c r="F496" s="20">
        <v>1.2</v>
      </c>
      <c r="G496" s="23">
        <v>10.156774</v>
      </c>
      <c r="H496" s="23">
        <f t="shared" si="67"/>
        <v>5.0783870000000002E-2</v>
      </c>
      <c r="I496" s="23">
        <v>0</v>
      </c>
      <c r="J496" s="23">
        <v>0</v>
      </c>
      <c r="K496" s="23">
        <f t="shared" si="68"/>
        <v>0.86332579000000009</v>
      </c>
      <c r="L496" s="45">
        <v>0</v>
      </c>
      <c r="M496" s="23">
        <v>0</v>
      </c>
      <c r="N496" s="23">
        <f t="shared" si="64"/>
        <v>0.91410966000000005</v>
      </c>
      <c r="O496" s="23">
        <f t="shared" si="69"/>
        <v>0</v>
      </c>
      <c r="P496" s="23">
        <f t="shared" si="70"/>
        <v>0.91410966000000005</v>
      </c>
      <c r="Q496" s="70" t="s">
        <v>19</v>
      </c>
      <c r="R496" s="80" t="s">
        <v>346</v>
      </c>
      <c r="S496" s="10" t="s">
        <v>344</v>
      </c>
      <c r="T496" s="10"/>
      <c r="U496" s="10"/>
      <c r="V496" s="10"/>
      <c r="W496" s="10"/>
      <c r="X496" s="10"/>
      <c r="Y496" s="10"/>
      <c r="Z496" s="10"/>
      <c r="AA496" s="10"/>
      <c r="AB496" s="10"/>
      <c r="AC496" s="10"/>
    </row>
    <row r="497" spans="1:29" s="7" customFormat="1" ht="317.10000000000002" customHeight="1" thickTop="1" thickBot="1" x14ac:dyDescent="0.8">
      <c r="A497" s="20">
        <v>493</v>
      </c>
      <c r="B497" s="19" t="s">
        <v>760</v>
      </c>
      <c r="C497" s="19" t="s">
        <v>511</v>
      </c>
      <c r="D497" s="176">
        <v>221029009570</v>
      </c>
      <c r="E497" s="20" t="s">
        <v>20</v>
      </c>
      <c r="F497" s="20">
        <v>2</v>
      </c>
      <c r="G497" s="21">
        <v>17.570889999999999</v>
      </c>
      <c r="H497" s="21">
        <f t="shared" si="67"/>
        <v>8.7854450000000001E-2</v>
      </c>
      <c r="I497" s="21">
        <v>0</v>
      </c>
      <c r="J497" s="21">
        <f>((34+20+25)*1000)/1000000</f>
        <v>7.9000000000000001E-2</v>
      </c>
      <c r="K497" s="21">
        <f t="shared" si="68"/>
        <v>1.49352565</v>
      </c>
      <c r="L497" s="22">
        <v>0</v>
      </c>
      <c r="M497" s="21">
        <f>((575+345+415)*1000)/1000000</f>
        <v>1.335</v>
      </c>
      <c r="N497" s="21">
        <f t="shared" si="64"/>
        <v>1.5813801000000001</v>
      </c>
      <c r="O497" s="21">
        <f t="shared" si="69"/>
        <v>1.4139999999999999</v>
      </c>
      <c r="P497" s="21">
        <f t="shared" si="70"/>
        <v>0.16738010000000014</v>
      </c>
      <c r="Q497" s="70" t="s">
        <v>284</v>
      </c>
      <c r="R497" s="18" t="s">
        <v>396</v>
      </c>
      <c r="S497" s="10" t="s">
        <v>282</v>
      </c>
      <c r="T497" s="10" t="s">
        <v>283</v>
      </c>
      <c r="U497" s="10"/>
      <c r="V497" s="10"/>
      <c r="W497" s="10"/>
      <c r="X497" s="10"/>
      <c r="Y497" s="10"/>
      <c r="Z497" s="10"/>
      <c r="AA497" s="10"/>
      <c r="AB497" s="10"/>
      <c r="AC497" s="10"/>
    </row>
    <row r="498" spans="1:29" s="7" customFormat="1" ht="317.10000000000002" customHeight="1" thickTop="1" thickBot="1" x14ac:dyDescent="0.75">
      <c r="A498" s="20">
        <v>494</v>
      </c>
      <c r="B498" s="428" t="s">
        <v>761</v>
      </c>
      <c r="C498" s="428" t="s">
        <v>511</v>
      </c>
      <c r="D498" s="441">
        <v>3209043000</v>
      </c>
      <c r="E498" s="58" t="s">
        <v>22</v>
      </c>
      <c r="F498" s="58">
        <v>5.25</v>
      </c>
      <c r="G498" s="60">
        <f>13449400/1000000</f>
        <v>13.449400000000001</v>
      </c>
      <c r="H498" s="60">
        <f>+G498*0.02</f>
        <v>0.268988</v>
      </c>
      <c r="I498" s="60">
        <v>0</v>
      </c>
      <c r="J498" s="60">
        <v>0</v>
      </c>
      <c r="K498" s="60">
        <f>+G498*(10.5/100)</f>
        <v>1.4121870000000001</v>
      </c>
      <c r="L498" s="61">
        <v>0</v>
      </c>
      <c r="M498" s="60">
        <v>0</v>
      </c>
      <c r="N498" s="60">
        <f>+H498+K498</f>
        <v>1.6811750000000001</v>
      </c>
      <c r="O498" s="60">
        <f>+((I498+J498)+(L498+M498))</f>
        <v>0</v>
      </c>
      <c r="P498" s="60">
        <f>+N498-O498</f>
        <v>1.6811750000000001</v>
      </c>
      <c r="Q498" s="127" t="s">
        <v>19</v>
      </c>
      <c r="R498" s="72" t="s">
        <v>158</v>
      </c>
      <c r="S498" s="7" t="s">
        <v>344</v>
      </c>
    </row>
    <row r="499" spans="1:29" s="7" customFormat="1" ht="317.10000000000002" customHeight="1" thickTop="1" thickBot="1" x14ac:dyDescent="0.75">
      <c r="A499" s="20">
        <v>495</v>
      </c>
      <c r="B499" s="429"/>
      <c r="C499" s="429"/>
      <c r="D499" s="442"/>
      <c r="E499" s="47" t="s">
        <v>24</v>
      </c>
      <c r="F499" s="47">
        <v>5</v>
      </c>
      <c r="G499" s="143">
        <v>40.974912000000003</v>
      </c>
      <c r="H499" s="50">
        <f>+G499*(2.75/100)</f>
        <v>1.12681008</v>
      </c>
      <c r="I499" s="50">
        <v>0</v>
      </c>
      <c r="J499" s="50">
        <v>0</v>
      </c>
      <c r="K499" s="50">
        <f>+G499*(11/100)</f>
        <v>4.5072403200000002</v>
      </c>
      <c r="L499" s="51">
        <v>0</v>
      </c>
      <c r="M499" s="50">
        <v>0</v>
      </c>
      <c r="N499" s="50">
        <f>+H499+K499</f>
        <v>5.6340504000000005</v>
      </c>
      <c r="O499" s="50">
        <f>+((I499+J499)+(L499+M499))</f>
        <v>0</v>
      </c>
      <c r="P499" s="50">
        <f>+N499-O499</f>
        <v>5.6340504000000005</v>
      </c>
      <c r="Q499" s="67" t="s">
        <v>494</v>
      </c>
      <c r="R499" s="81" t="s">
        <v>159</v>
      </c>
      <c r="S499" s="7" t="s">
        <v>282</v>
      </c>
      <c r="T499" s="7" t="s">
        <v>283</v>
      </c>
    </row>
    <row r="500" spans="1:29" s="7" customFormat="1" ht="317.10000000000002" customHeight="1" thickTop="1" thickBot="1" x14ac:dyDescent="0.75">
      <c r="A500" s="20">
        <v>496</v>
      </c>
      <c r="B500" s="430"/>
      <c r="C500" s="430"/>
      <c r="D500" s="443"/>
      <c r="E500" s="53" t="s">
        <v>27</v>
      </c>
      <c r="F500" s="53">
        <v>18</v>
      </c>
      <c r="G500" s="53">
        <v>38.223402999999998</v>
      </c>
      <c r="H500" s="54">
        <f>+G500*(3.5/100)</f>
        <v>1.3378191050000001</v>
      </c>
      <c r="I500" s="54">
        <v>0</v>
      </c>
      <c r="J500" s="54">
        <v>0</v>
      </c>
      <c r="K500" s="54">
        <f>+G500*(11.5/100)</f>
        <v>4.3956913449999995</v>
      </c>
      <c r="L500" s="56">
        <v>0</v>
      </c>
      <c r="M500" s="54">
        <v>0</v>
      </c>
      <c r="N500" s="54">
        <f t="shared" si="64"/>
        <v>5.7335104499999998</v>
      </c>
      <c r="O500" s="54">
        <f t="shared" si="69"/>
        <v>0</v>
      </c>
      <c r="P500" s="54">
        <f t="shared" si="70"/>
        <v>5.7335104499999998</v>
      </c>
      <c r="Q500" s="130" t="s">
        <v>497</v>
      </c>
      <c r="R500" s="82" t="s">
        <v>160</v>
      </c>
      <c r="S500" s="7" t="s">
        <v>282</v>
      </c>
      <c r="T500" s="7" t="s">
        <v>283</v>
      </c>
    </row>
    <row r="501" spans="1:29" s="7" customFormat="1" ht="317.10000000000002" customHeight="1" thickTop="1" thickBot="1" x14ac:dyDescent="0.8">
      <c r="A501" s="20">
        <v>509</v>
      </c>
      <c r="B501" s="414" t="s">
        <v>763</v>
      </c>
      <c r="C501" s="16" t="s">
        <v>511</v>
      </c>
      <c r="D501" s="416">
        <v>3019031500</v>
      </c>
      <c r="E501" s="20" t="s">
        <v>18</v>
      </c>
      <c r="F501" s="20">
        <v>5</v>
      </c>
      <c r="G501" s="23">
        <v>25.960768000000002</v>
      </c>
      <c r="H501" s="23">
        <f>+G501*0.005</f>
        <v>0.12980384</v>
      </c>
      <c r="I501" s="23">
        <v>0</v>
      </c>
      <c r="J501" s="23">
        <v>0</v>
      </c>
      <c r="K501" s="23">
        <f>+G501*(8.5/100)</f>
        <v>2.2066652800000002</v>
      </c>
      <c r="L501" s="45">
        <v>0</v>
      </c>
      <c r="M501" s="23">
        <v>0</v>
      </c>
      <c r="N501" s="23">
        <f>+H501+K501</f>
        <v>2.3364691200000003</v>
      </c>
      <c r="O501" s="23">
        <f>+((I501+J501)+(L501+M501))</f>
        <v>0</v>
      </c>
      <c r="P501" s="23">
        <f>+N501-O501</f>
        <v>2.3364691200000003</v>
      </c>
      <c r="Q501" s="71" t="s">
        <v>19</v>
      </c>
      <c r="R501" s="88" t="s">
        <v>346</v>
      </c>
      <c r="S501" s="10" t="s">
        <v>344</v>
      </c>
      <c r="T501" s="10"/>
      <c r="U501" s="10"/>
      <c r="V501" s="10"/>
      <c r="W501" s="10"/>
      <c r="X501" s="10"/>
      <c r="Y501" s="10"/>
      <c r="Z501" s="10"/>
      <c r="AA501" s="10"/>
      <c r="AB501" s="10"/>
      <c r="AC501" s="10"/>
    </row>
    <row r="502" spans="1:29" s="7" customFormat="1" ht="317.10000000000002" customHeight="1" thickTop="1" thickBot="1" x14ac:dyDescent="0.8">
      <c r="A502" s="20">
        <v>497</v>
      </c>
      <c r="B502" s="415"/>
      <c r="C502" s="183"/>
      <c r="D502" s="417"/>
      <c r="E502" s="20" t="s">
        <v>20</v>
      </c>
      <c r="F502" s="20">
        <v>4.5</v>
      </c>
      <c r="G502" s="21">
        <v>29.710070000000002</v>
      </c>
      <c r="H502" s="21">
        <f t="shared" ref="H502:H510" si="71">+G502*0.005</f>
        <v>0.14855035000000003</v>
      </c>
      <c r="I502" s="21">
        <v>0</v>
      </c>
      <c r="J502" s="21">
        <v>0</v>
      </c>
      <c r="K502" s="21">
        <f t="shared" ref="K502:K510" si="72">+G502*(8.5/100)</f>
        <v>2.5253559500000002</v>
      </c>
      <c r="L502" s="22">
        <v>0</v>
      </c>
      <c r="M502" s="21">
        <v>0</v>
      </c>
      <c r="N502" s="21">
        <f t="shared" si="64"/>
        <v>2.6739063000000001</v>
      </c>
      <c r="O502" s="21">
        <f t="shared" si="69"/>
        <v>0</v>
      </c>
      <c r="P502" s="21">
        <f t="shared" si="70"/>
        <v>2.6739063000000001</v>
      </c>
      <c r="Q502" s="70" t="s">
        <v>19</v>
      </c>
      <c r="R502" s="18" t="s">
        <v>449</v>
      </c>
      <c r="S502" s="10" t="s">
        <v>344</v>
      </c>
      <c r="T502" s="10"/>
      <c r="U502" s="10"/>
      <c r="V502" s="10"/>
      <c r="W502" s="10"/>
      <c r="X502" s="10"/>
      <c r="Y502" s="10"/>
      <c r="Z502" s="10"/>
      <c r="AA502" s="10"/>
      <c r="AB502" s="10"/>
      <c r="AC502" s="10"/>
    </row>
    <row r="503" spans="1:29" s="7" customFormat="1" ht="317.10000000000002" customHeight="1" thickTop="1" thickBot="1" x14ac:dyDescent="0.8">
      <c r="A503" s="20">
        <v>510</v>
      </c>
      <c r="B503" s="414" t="s">
        <v>764</v>
      </c>
      <c r="C503" s="414" t="s">
        <v>511</v>
      </c>
      <c r="D503" s="416">
        <v>3019029150</v>
      </c>
      <c r="E503" s="20" t="s">
        <v>18</v>
      </c>
      <c r="F503" s="20">
        <v>4.92</v>
      </c>
      <c r="G503" s="23">
        <v>14.000482999999999</v>
      </c>
      <c r="H503" s="23">
        <f>+G503*0.005</f>
        <v>7.0002414999999998E-2</v>
      </c>
      <c r="I503" s="23">
        <v>0</v>
      </c>
      <c r="J503" s="23">
        <v>0</v>
      </c>
      <c r="K503" s="23">
        <f>+G503*(8.5/100)</f>
        <v>1.190041055</v>
      </c>
      <c r="L503" s="45">
        <v>0</v>
      </c>
      <c r="M503" s="23">
        <v>0</v>
      </c>
      <c r="N503" s="23">
        <f>+H503+K503</f>
        <v>1.2600434700000001</v>
      </c>
      <c r="O503" s="23">
        <f>+((I503+J503)+(L503+M503))</f>
        <v>0</v>
      </c>
      <c r="P503" s="23">
        <f>+N503-O503</f>
        <v>1.2600434700000001</v>
      </c>
      <c r="Q503" s="70" t="s">
        <v>19</v>
      </c>
      <c r="R503" s="18" t="s">
        <v>346</v>
      </c>
      <c r="S503" s="10" t="s">
        <v>344</v>
      </c>
      <c r="T503" s="10"/>
      <c r="U503" s="10"/>
      <c r="V503" s="10"/>
      <c r="W503" s="10"/>
      <c r="X503" s="10"/>
      <c r="Y503" s="10"/>
      <c r="Z503" s="10"/>
      <c r="AA503" s="10"/>
      <c r="AB503" s="10"/>
      <c r="AC503" s="10"/>
    </row>
    <row r="504" spans="1:29" s="7" customFormat="1" ht="317.10000000000002" customHeight="1" thickTop="1" thickBot="1" x14ac:dyDescent="0.8">
      <c r="A504" s="20">
        <v>498</v>
      </c>
      <c r="B504" s="415"/>
      <c r="C504" s="415"/>
      <c r="D504" s="417"/>
      <c r="E504" s="20" t="s">
        <v>20</v>
      </c>
      <c r="F504" s="20">
        <v>2.2000000000000002</v>
      </c>
      <c r="G504" s="21">
        <v>15.930994999999999</v>
      </c>
      <c r="H504" s="21">
        <f t="shared" si="71"/>
        <v>7.9654975000000003E-2</v>
      </c>
      <c r="I504" s="21">
        <v>0</v>
      </c>
      <c r="J504" s="21">
        <v>0</v>
      </c>
      <c r="K504" s="21">
        <f t="shared" si="72"/>
        <v>1.354134575</v>
      </c>
      <c r="L504" s="22">
        <v>0</v>
      </c>
      <c r="M504" s="21">
        <v>0</v>
      </c>
      <c r="N504" s="21">
        <f t="shared" si="64"/>
        <v>1.43378955</v>
      </c>
      <c r="O504" s="21">
        <f t="shared" si="69"/>
        <v>0</v>
      </c>
      <c r="P504" s="21">
        <f t="shared" si="70"/>
        <v>1.43378955</v>
      </c>
      <c r="Q504" s="77" t="s">
        <v>19</v>
      </c>
      <c r="R504" s="18" t="s">
        <v>449</v>
      </c>
      <c r="S504" s="10" t="s">
        <v>344</v>
      </c>
      <c r="T504" s="10"/>
      <c r="U504" s="10"/>
      <c r="V504" s="10"/>
      <c r="W504" s="10"/>
      <c r="X504" s="10"/>
      <c r="Y504" s="10"/>
      <c r="Z504" s="10"/>
      <c r="AA504" s="10"/>
      <c r="AB504" s="10"/>
      <c r="AC504" s="10"/>
    </row>
    <row r="505" spans="1:29" s="7" customFormat="1" ht="317.10000000000002" customHeight="1" thickTop="1" thickBot="1" x14ac:dyDescent="0.8">
      <c r="A505" s="394">
        <v>514</v>
      </c>
      <c r="B505" s="414" t="s">
        <v>767</v>
      </c>
      <c r="C505" s="414" t="s">
        <v>511</v>
      </c>
      <c r="D505" s="416">
        <v>3019021679</v>
      </c>
      <c r="E505" s="20" t="s">
        <v>18</v>
      </c>
      <c r="F505" s="20">
        <v>4.9000000000000004</v>
      </c>
      <c r="G505" s="23">
        <v>18.08953</v>
      </c>
      <c r="H505" s="23">
        <f>+G505*0.005</f>
        <v>9.0447650000000004E-2</v>
      </c>
      <c r="I505" s="23">
        <v>0</v>
      </c>
      <c r="J505" s="23">
        <v>0</v>
      </c>
      <c r="K505" s="23">
        <f>+G505*(8.5/100)</f>
        <v>1.5376100500000001</v>
      </c>
      <c r="L505" s="45">
        <v>0</v>
      </c>
      <c r="M505" s="23">
        <v>0</v>
      </c>
      <c r="N505" s="23">
        <f>+H505+K505</f>
        <v>1.6280577000000001</v>
      </c>
      <c r="O505" s="23">
        <f>+((I505+J505)+(L505+M505))</f>
        <v>0</v>
      </c>
      <c r="P505" s="23">
        <f>+N505-O505</f>
        <v>1.6280577000000001</v>
      </c>
      <c r="Q505" s="87" t="s">
        <v>19</v>
      </c>
      <c r="R505" s="89" t="s">
        <v>346</v>
      </c>
      <c r="S505" s="10" t="s">
        <v>344</v>
      </c>
      <c r="T505" s="10"/>
      <c r="U505" s="10"/>
      <c r="V505" s="10"/>
      <c r="W505" s="10"/>
      <c r="X505" s="10"/>
      <c r="Y505" s="10"/>
      <c r="Z505" s="10"/>
      <c r="AA505" s="10"/>
      <c r="AB505" s="10"/>
      <c r="AC505" s="10"/>
    </row>
    <row r="506" spans="1:29" s="7" customFormat="1" ht="365.1" customHeight="1" thickTop="1" thickBot="1" x14ac:dyDescent="0.8">
      <c r="A506" s="396"/>
      <c r="B506" s="415"/>
      <c r="C506" s="415"/>
      <c r="D506" s="417"/>
      <c r="E506" s="20" t="s">
        <v>20</v>
      </c>
      <c r="F506" s="20">
        <v>4.9000000000000004</v>
      </c>
      <c r="G506" s="21">
        <v>22.928773</v>
      </c>
      <c r="H506" s="21">
        <f t="shared" si="71"/>
        <v>0.114643865</v>
      </c>
      <c r="I506" s="21">
        <v>0</v>
      </c>
      <c r="J506" s="21">
        <v>0</v>
      </c>
      <c r="K506" s="21">
        <f t="shared" si="72"/>
        <v>1.9489457050000001</v>
      </c>
      <c r="L506" s="22">
        <v>0</v>
      </c>
      <c r="M506" s="21">
        <v>0</v>
      </c>
      <c r="N506" s="21">
        <f t="shared" si="64"/>
        <v>2.06358957</v>
      </c>
      <c r="O506" s="21">
        <f t="shared" si="69"/>
        <v>0</v>
      </c>
      <c r="P506" s="21">
        <f t="shared" si="70"/>
        <v>2.06358957</v>
      </c>
      <c r="Q506" s="70" t="s">
        <v>19</v>
      </c>
      <c r="R506" s="18" t="s">
        <v>446</v>
      </c>
      <c r="S506" s="10" t="s">
        <v>344</v>
      </c>
      <c r="T506" s="10"/>
      <c r="U506" s="10"/>
      <c r="V506" s="10"/>
      <c r="W506" s="10"/>
      <c r="X506" s="10"/>
      <c r="Y506" s="10"/>
      <c r="Z506" s="10"/>
      <c r="AA506" s="10"/>
      <c r="AB506" s="10"/>
      <c r="AC506" s="10"/>
    </row>
    <row r="507" spans="1:29" s="7" customFormat="1" ht="317.10000000000002" customHeight="1" thickTop="1" thickBot="1" x14ac:dyDescent="0.8">
      <c r="A507" s="20">
        <v>508</v>
      </c>
      <c r="B507" s="414" t="s">
        <v>762</v>
      </c>
      <c r="C507" s="414" t="s">
        <v>511</v>
      </c>
      <c r="D507" s="416">
        <v>3209023420</v>
      </c>
      <c r="E507" s="20" t="s">
        <v>18</v>
      </c>
      <c r="F507" s="20">
        <v>3</v>
      </c>
      <c r="G507" s="23">
        <v>18.430748000000001</v>
      </c>
      <c r="H507" s="23">
        <f>+G507*0.005</f>
        <v>9.2153740000000012E-2</v>
      </c>
      <c r="I507" s="23">
        <v>0</v>
      </c>
      <c r="J507" s="23">
        <v>0</v>
      </c>
      <c r="K507" s="23">
        <f>+G507*(8.5/100)</f>
        <v>1.5666135800000003</v>
      </c>
      <c r="L507" s="45">
        <v>0</v>
      </c>
      <c r="M507" s="23">
        <v>0</v>
      </c>
      <c r="N507" s="23">
        <f>+H507+K507</f>
        <v>1.6587673200000004</v>
      </c>
      <c r="O507" s="23">
        <f>+((I507+J507)+(L507+M507))</f>
        <v>0</v>
      </c>
      <c r="P507" s="23">
        <f>+N507-O507</f>
        <v>1.6587673200000004</v>
      </c>
      <c r="Q507" s="76" t="s">
        <v>19</v>
      </c>
      <c r="R507" s="18" t="s">
        <v>346</v>
      </c>
      <c r="S507" s="10" t="s">
        <v>344</v>
      </c>
      <c r="T507" s="10"/>
      <c r="U507" s="10"/>
      <c r="V507" s="10"/>
      <c r="W507" s="10"/>
      <c r="X507" s="10"/>
      <c r="Y507" s="10"/>
      <c r="Z507" s="10"/>
      <c r="AA507" s="10"/>
      <c r="AB507" s="10"/>
      <c r="AC507" s="10"/>
    </row>
    <row r="508" spans="1:29" s="7" customFormat="1" ht="363" customHeight="1" thickTop="1" thickBot="1" x14ac:dyDescent="0.8">
      <c r="A508" s="20">
        <v>500</v>
      </c>
      <c r="B508" s="415"/>
      <c r="C508" s="415"/>
      <c r="D508" s="417"/>
      <c r="E508" s="20" t="s">
        <v>20</v>
      </c>
      <c r="F508" s="20">
        <v>2.7</v>
      </c>
      <c r="G508" s="21">
        <v>9.3836739999999992</v>
      </c>
      <c r="H508" s="21">
        <f t="shared" si="71"/>
        <v>4.6918369999999994E-2</v>
      </c>
      <c r="I508" s="21">
        <v>0</v>
      </c>
      <c r="J508" s="21">
        <v>0</v>
      </c>
      <c r="K508" s="21">
        <f t="shared" si="72"/>
        <v>0.79761229</v>
      </c>
      <c r="L508" s="22">
        <v>0</v>
      </c>
      <c r="M508" s="21">
        <v>0</v>
      </c>
      <c r="N508" s="21">
        <f t="shared" si="64"/>
        <v>0.84453065999999999</v>
      </c>
      <c r="O508" s="21">
        <f t="shared" si="69"/>
        <v>0</v>
      </c>
      <c r="P508" s="21">
        <f t="shared" si="70"/>
        <v>0.84453065999999999</v>
      </c>
      <c r="Q508" s="131" t="s">
        <v>19</v>
      </c>
      <c r="R508" s="75" t="s">
        <v>449</v>
      </c>
      <c r="S508" s="10" t="s">
        <v>344</v>
      </c>
      <c r="T508" s="10"/>
      <c r="U508" s="10"/>
      <c r="V508" s="10"/>
      <c r="W508" s="10"/>
      <c r="X508" s="10"/>
      <c r="Y508" s="10"/>
      <c r="Z508" s="10"/>
      <c r="AA508" s="10"/>
      <c r="AB508" s="10"/>
      <c r="AC508" s="10"/>
    </row>
    <row r="509" spans="1:29" s="7" customFormat="1" ht="317.10000000000002" customHeight="1" thickBot="1" x14ac:dyDescent="0.8">
      <c r="A509" s="20">
        <v>513</v>
      </c>
      <c r="B509" s="414" t="s">
        <v>766</v>
      </c>
      <c r="C509" s="414" t="s">
        <v>511</v>
      </c>
      <c r="D509" s="416">
        <v>3019001961</v>
      </c>
      <c r="E509" s="20" t="s">
        <v>18</v>
      </c>
      <c r="F509" s="20">
        <v>4.9669999999999996</v>
      </c>
      <c r="G509" s="23">
        <v>28.696798999999999</v>
      </c>
      <c r="H509" s="23">
        <f>+G509*0.005</f>
        <v>0.143483995</v>
      </c>
      <c r="I509" s="23">
        <v>0</v>
      </c>
      <c r="J509" s="23">
        <v>0</v>
      </c>
      <c r="K509" s="23">
        <f>+G509*(8.5/100)</f>
        <v>2.439227915</v>
      </c>
      <c r="L509" s="45">
        <v>0</v>
      </c>
      <c r="M509" s="23">
        <v>0</v>
      </c>
      <c r="N509" s="23">
        <f>+H509+K509</f>
        <v>2.58271191</v>
      </c>
      <c r="O509" s="23">
        <f>+((I509+J509)+(L509+M509))</f>
        <v>0</v>
      </c>
      <c r="P509" s="23">
        <f>+N509-O509</f>
        <v>2.58271191</v>
      </c>
      <c r="Q509" s="85" t="s">
        <v>19</v>
      </c>
      <c r="R509" s="89" t="s">
        <v>346</v>
      </c>
      <c r="S509" s="10" t="s">
        <v>344</v>
      </c>
      <c r="T509" s="10"/>
      <c r="U509" s="10"/>
      <c r="V509" s="10"/>
      <c r="W509" s="10"/>
      <c r="X509" s="10"/>
      <c r="Y509" s="10"/>
      <c r="Z509" s="10"/>
      <c r="AA509" s="10"/>
      <c r="AB509" s="10"/>
      <c r="AC509" s="10"/>
    </row>
    <row r="510" spans="1:29" s="7" customFormat="1" ht="408.95" customHeight="1" thickTop="1" thickBot="1" x14ac:dyDescent="0.8">
      <c r="A510" s="20">
        <v>502</v>
      </c>
      <c r="B510" s="415"/>
      <c r="C510" s="415"/>
      <c r="D510" s="417"/>
      <c r="E510" s="20" t="s">
        <v>20</v>
      </c>
      <c r="F510" s="20">
        <v>4</v>
      </c>
      <c r="G510" s="21">
        <v>33.076061000000003</v>
      </c>
      <c r="H510" s="21">
        <f t="shared" si="71"/>
        <v>0.16538030500000001</v>
      </c>
      <c r="I510" s="21">
        <v>0</v>
      </c>
      <c r="J510" s="21">
        <v>0</v>
      </c>
      <c r="K510" s="21">
        <f t="shared" si="72"/>
        <v>2.8114651850000003</v>
      </c>
      <c r="L510" s="22">
        <v>0</v>
      </c>
      <c r="M510" s="21">
        <v>0</v>
      </c>
      <c r="N510" s="21">
        <f t="shared" si="64"/>
        <v>2.9768454900000005</v>
      </c>
      <c r="O510" s="21">
        <f t="shared" si="69"/>
        <v>0</v>
      </c>
      <c r="P510" s="21">
        <f t="shared" si="70"/>
        <v>2.9768454900000005</v>
      </c>
      <c r="Q510" s="76" t="s">
        <v>19</v>
      </c>
      <c r="R510" s="18" t="s">
        <v>449</v>
      </c>
      <c r="S510" s="10" t="s">
        <v>344</v>
      </c>
      <c r="T510" s="10"/>
      <c r="U510" s="10"/>
      <c r="V510" s="10"/>
      <c r="W510" s="10"/>
      <c r="X510" s="10"/>
      <c r="Y510" s="10"/>
      <c r="Z510" s="10"/>
      <c r="AA510" s="10"/>
      <c r="AB510" s="10"/>
      <c r="AC510" s="10"/>
    </row>
    <row r="511" spans="1:29" s="7" customFormat="1" ht="317.10000000000002" customHeight="1" thickTop="1" thickBot="1" x14ac:dyDescent="0.8">
      <c r="A511" s="394">
        <v>511</v>
      </c>
      <c r="B511" s="414" t="s">
        <v>768</v>
      </c>
      <c r="C511" s="444" t="s">
        <v>511</v>
      </c>
      <c r="D511" s="447">
        <v>3019027510</v>
      </c>
      <c r="E511" s="20" t="s">
        <v>18</v>
      </c>
      <c r="F511" s="20">
        <v>50</v>
      </c>
      <c r="G511" s="23">
        <v>159.659819</v>
      </c>
      <c r="H511" s="23">
        <f>+G511*0.005</f>
        <v>0.79829909499999996</v>
      </c>
      <c r="I511" s="23">
        <v>0</v>
      </c>
      <c r="J511" s="23">
        <v>0</v>
      </c>
      <c r="K511" s="23">
        <f>+G511*(8.5/100)</f>
        <v>13.571084615</v>
      </c>
      <c r="L511" s="45">
        <v>0</v>
      </c>
      <c r="M511" s="23">
        <v>0</v>
      </c>
      <c r="N511" s="23">
        <f>+H511+K511</f>
        <v>14.369383710000001</v>
      </c>
      <c r="O511" s="23">
        <f>+((I511+J511)+(L511+M511))</f>
        <v>0</v>
      </c>
      <c r="P511" s="23">
        <f>+N511-O511</f>
        <v>14.369383710000001</v>
      </c>
      <c r="Q511" s="76" t="s">
        <v>19</v>
      </c>
      <c r="R511" s="18" t="s">
        <v>346</v>
      </c>
      <c r="S511" s="10" t="s">
        <v>344</v>
      </c>
      <c r="T511" s="10"/>
      <c r="U511" s="10"/>
      <c r="V511" s="10"/>
      <c r="W511" s="10"/>
      <c r="X511" s="10"/>
      <c r="Y511" s="10"/>
      <c r="Z511" s="10"/>
      <c r="AA511" s="10"/>
      <c r="AB511" s="10"/>
      <c r="AC511" s="10"/>
    </row>
    <row r="512" spans="1:29" s="7" customFormat="1" ht="408.95" customHeight="1" thickTop="1" thickBot="1" x14ac:dyDescent="0.8">
      <c r="A512" s="396"/>
      <c r="B512" s="418"/>
      <c r="C512" s="445"/>
      <c r="D512" s="448"/>
      <c r="E512" s="20" t="s">
        <v>20</v>
      </c>
      <c r="F512" s="20">
        <v>34</v>
      </c>
      <c r="G512" s="21">
        <v>221.50134700000001</v>
      </c>
      <c r="H512" s="21">
        <f>+G512*0.005</f>
        <v>1.1075067350000001</v>
      </c>
      <c r="I512" s="21">
        <v>0</v>
      </c>
      <c r="J512" s="21">
        <v>0</v>
      </c>
      <c r="K512" s="21">
        <f>+G512*(8.5/100)</f>
        <v>18.827614495000002</v>
      </c>
      <c r="L512" s="22">
        <v>0</v>
      </c>
      <c r="M512" s="21">
        <v>0</v>
      </c>
      <c r="N512" s="21">
        <f>+H512+K512</f>
        <v>19.935121230000004</v>
      </c>
      <c r="O512" s="21">
        <f>+((I512+J512)+(L512+M512))</f>
        <v>0</v>
      </c>
      <c r="P512" s="21">
        <f>+N512-O512</f>
        <v>19.935121230000004</v>
      </c>
      <c r="Q512" s="76" t="s">
        <v>19</v>
      </c>
      <c r="R512" s="18" t="s">
        <v>29</v>
      </c>
      <c r="S512" s="10" t="s">
        <v>344</v>
      </c>
      <c r="T512" s="10"/>
      <c r="U512" s="10"/>
      <c r="V512" s="10"/>
      <c r="W512" s="10"/>
      <c r="X512" s="10"/>
      <c r="Y512" s="10"/>
      <c r="Z512" s="10"/>
      <c r="AA512" s="10"/>
      <c r="AB512" s="10"/>
      <c r="AC512" s="10"/>
    </row>
    <row r="513" spans="1:29" s="7" customFormat="1" ht="377.1" customHeight="1" thickTop="1" thickBot="1" x14ac:dyDescent="0.8">
      <c r="A513" s="20">
        <v>506</v>
      </c>
      <c r="B513" s="418"/>
      <c r="C513" s="445"/>
      <c r="D513" s="448"/>
      <c r="E513" s="20" t="s">
        <v>21</v>
      </c>
      <c r="F513" s="20">
        <v>34</v>
      </c>
      <c r="G513" s="23">
        <v>239.75872799999999</v>
      </c>
      <c r="H513" s="23">
        <f>+G513*0.01</f>
        <v>2.3975872799999998</v>
      </c>
      <c r="I513" s="23">
        <v>0</v>
      </c>
      <c r="J513" s="23">
        <v>0</v>
      </c>
      <c r="K513" s="23">
        <f>+G513*(10/100)</f>
        <v>23.975872800000001</v>
      </c>
      <c r="L513" s="45">
        <v>0</v>
      </c>
      <c r="M513" s="23">
        <v>0</v>
      </c>
      <c r="N513" s="23">
        <f>+H513+K513</f>
        <v>26.373460080000001</v>
      </c>
      <c r="O513" s="23">
        <f>+((I513+J513)+(L513+M513))</f>
        <v>0</v>
      </c>
      <c r="P513" s="23">
        <f>+N513-O513</f>
        <v>26.373460080000001</v>
      </c>
      <c r="Q513" s="76" t="s">
        <v>19</v>
      </c>
      <c r="R513" s="18" t="s">
        <v>489</v>
      </c>
      <c r="S513" s="10" t="s">
        <v>344</v>
      </c>
      <c r="T513" s="10"/>
      <c r="U513" s="10"/>
      <c r="V513" s="10"/>
      <c r="W513" s="10"/>
      <c r="X513" s="10"/>
      <c r="Y513" s="10"/>
      <c r="Z513" s="10"/>
      <c r="AA513" s="10"/>
      <c r="AB513" s="10"/>
      <c r="AC513" s="10"/>
    </row>
    <row r="514" spans="1:29" s="7" customFormat="1" ht="317.10000000000002" customHeight="1" thickTop="1" x14ac:dyDescent="0.7">
      <c r="A514" s="20">
        <v>507</v>
      </c>
      <c r="B514" s="418"/>
      <c r="C514" s="445"/>
      <c r="D514" s="448"/>
      <c r="E514" s="58" t="s">
        <v>22</v>
      </c>
      <c r="F514" s="58">
        <v>34</v>
      </c>
      <c r="G514" s="60">
        <f>131426322/1000000</f>
        <v>131.426322</v>
      </c>
      <c r="H514" s="60">
        <f>+G514*0.02</f>
        <v>2.6285264399999999</v>
      </c>
      <c r="I514" s="60">
        <v>0</v>
      </c>
      <c r="J514" s="60">
        <v>0</v>
      </c>
      <c r="K514" s="60">
        <f>+G514*(10.5/100)</f>
        <v>13.79976381</v>
      </c>
      <c r="L514" s="61">
        <v>0</v>
      </c>
      <c r="M514" s="60">
        <v>0</v>
      </c>
      <c r="N514" s="60">
        <f>+H514+K514</f>
        <v>16.42829025</v>
      </c>
      <c r="O514" s="60">
        <f>+((I514+J514)+(L514+M514))</f>
        <v>0</v>
      </c>
      <c r="P514" s="60">
        <f>+N514-O514</f>
        <v>16.42829025</v>
      </c>
      <c r="Q514" s="66" t="s">
        <v>19</v>
      </c>
      <c r="R514" s="86" t="s">
        <v>161</v>
      </c>
      <c r="S514" s="7" t="s">
        <v>344</v>
      </c>
    </row>
    <row r="515" spans="1:29" s="7" customFormat="1" ht="408.95" customHeight="1" thickBot="1" x14ac:dyDescent="0.75">
      <c r="A515" s="20">
        <v>503</v>
      </c>
      <c r="B515" s="418"/>
      <c r="C515" s="445"/>
      <c r="D515" s="448"/>
      <c r="E515" s="47" t="s">
        <v>24</v>
      </c>
      <c r="F515" s="47">
        <v>37</v>
      </c>
      <c r="G515" s="143">
        <v>284.116285</v>
      </c>
      <c r="H515" s="50">
        <f>+G515*(2.75/100)</f>
        <v>7.8131978374999997</v>
      </c>
      <c r="I515" s="50">
        <v>0</v>
      </c>
      <c r="J515" s="50">
        <v>0</v>
      </c>
      <c r="K515" s="50">
        <f>+G515*(11/100)</f>
        <v>31.252791349999999</v>
      </c>
      <c r="L515" s="51">
        <v>0</v>
      </c>
      <c r="M515" s="50">
        <v>0</v>
      </c>
      <c r="N515" s="50">
        <f t="shared" si="64"/>
        <v>39.065989187500001</v>
      </c>
      <c r="O515" s="50">
        <f t="shared" si="69"/>
        <v>0</v>
      </c>
      <c r="P515" s="50">
        <f t="shared" si="70"/>
        <v>39.065989187500001</v>
      </c>
      <c r="Q515" s="132" t="s">
        <v>494</v>
      </c>
      <c r="R515" s="83" t="s">
        <v>159</v>
      </c>
      <c r="S515" s="7" t="s">
        <v>282</v>
      </c>
      <c r="T515" s="7" t="s">
        <v>283</v>
      </c>
    </row>
    <row r="516" spans="1:29" s="7" customFormat="1" ht="351" customHeight="1" thickTop="1" thickBot="1" x14ac:dyDescent="0.75">
      <c r="A516" s="20">
        <v>504</v>
      </c>
      <c r="B516" s="415"/>
      <c r="C516" s="446"/>
      <c r="D516" s="449"/>
      <c r="E516" s="53" t="s">
        <v>27</v>
      </c>
      <c r="F516" s="53">
        <v>37</v>
      </c>
      <c r="G516" s="53">
        <v>283.47165999999999</v>
      </c>
      <c r="H516" s="54">
        <f>+G516*(3.5/100)</f>
        <v>9.9215081000000005</v>
      </c>
      <c r="I516" s="54">
        <v>0</v>
      </c>
      <c r="J516" s="54">
        <v>0</v>
      </c>
      <c r="K516" s="54">
        <f>+G516*(11.5/100)</f>
        <v>32.599240899999998</v>
      </c>
      <c r="L516" s="56">
        <v>0</v>
      </c>
      <c r="M516" s="54">
        <v>0</v>
      </c>
      <c r="N516" s="54">
        <f t="shared" si="64"/>
        <v>42.520748999999995</v>
      </c>
      <c r="O516" s="54">
        <f t="shared" si="69"/>
        <v>0</v>
      </c>
      <c r="P516" s="54">
        <f t="shared" si="70"/>
        <v>42.520748999999995</v>
      </c>
      <c r="Q516" s="133" t="s">
        <v>497</v>
      </c>
      <c r="R516" s="84" t="s">
        <v>160</v>
      </c>
      <c r="S516" s="7" t="s">
        <v>282</v>
      </c>
      <c r="T516" s="7" t="s">
        <v>283</v>
      </c>
    </row>
    <row r="517" spans="1:29" s="7" customFormat="1" ht="317.10000000000002" customHeight="1" thickTop="1" thickBot="1" x14ac:dyDescent="0.8">
      <c r="A517" s="394">
        <v>512</v>
      </c>
      <c r="B517" s="414" t="s">
        <v>765</v>
      </c>
      <c r="C517" s="414" t="s">
        <v>511</v>
      </c>
      <c r="D517" s="416">
        <v>3019019801</v>
      </c>
      <c r="E517" s="20" t="s">
        <v>18</v>
      </c>
      <c r="F517" s="20">
        <v>4.8419999999999996</v>
      </c>
      <c r="G517" s="23">
        <v>28.346509000000001</v>
      </c>
      <c r="H517" s="23">
        <f>+G517*0.005</f>
        <v>0.14173254500000002</v>
      </c>
      <c r="I517" s="23">
        <v>0</v>
      </c>
      <c r="J517" s="23">
        <v>0</v>
      </c>
      <c r="K517" s="23">
        <f>+G517*(8.5/100)</f>
        <v>2.4094532650000002</v>
      </c>
      <c r="L517" s="45">
        <v>0</v>
      </c>
      <c r="M517" s="23">
        <v>0</v>
      </c>
      <c r="N517" s="23">
        <f>+H517+K517</f>
        <v>2.5511858100000002</v>
      </c>
      <c r="O517" s="23">
        <f>+((I517+J517)+(L517+M517))</f>
        <v>0</v>
      </c>
      <c r="P517" s="23">
        <f>+N517-O517</f>
        <v>2.5511858100000002</v>
      </c>
      <c r="Q517" s="134" t="s">
        <v>19</v>
      </c>
      <c r="R517" s="88" t="s">
        <v>346</v>
      </c>
      <c r="S517" s="10" t="s">
        <v>344</v>
      </c>
      <c r="T517" s="10"/>
      <c r="U517" s="10"/>
      <c r="V517" s="10"/>
      <c r="W517" s="10"/>
      <c r="X517" s="10"/>
      <c r="Y517" s="10"/>
      <c r="Z517" s="10"/>
      <c r="AA517" s="10"/>
      <c r="AB517" s="10"/>
      <c r="AC517" s="10"/>
    </row>
    <row r="518" spans="1:29" s="7" customFormat="1" ht="317.10000000000002" customHeight="1" thickTop="1" thickBot="1" x14ac:dyDescent="0.8">
      <c r="A518" s="396"/>
      <c r="B518" s="415"/>
      <c r="C518" s="415"/>
      <c r="D518" s="417"/>
      <c r="E518" s="20" t="s">
        <v>20</v>
      </c>
      <c r="F518" s="20">
        <v>4</v>
      </c>
      <c r="G518" s="21">
        <v>32.935156999999997</v>
      </c>
      <c r="H518" s="21">
        <f>+G518*0.005</f>
        <v>0.16467578499999999</v>
      </c>
      <c r="I518" s="21">
        <v>0</v>
      </c>
      <c r="J518" s="21">
        <v>0</v>
      </c>
      <c r="K518" s="21">
        <f>+G518*(8.5/100)</f>
        <v>2.7994883449999999</v>
      </c>
      <c r="L518" s="22">
        <v>0</v>
      </c>
      <c r="M518" s="21">
        <v>0</v>
      </c>
      <c r="N518" s="21">
        <f t="shared" si="64"/>
        <v>2.9641641299999999</v>
      </c>
      <c r="O518" s="21">
        <f t="shared" si="69"/>
        <v>0</v>
      </c>
      <c r="P518" s="21">
        <f t="shared" si="70"/>
        <v>2.9641641299999999</v>
      </c>
      <c r="Q518" s="76" t="s">
        <v>19</v>
      </c>
      <c r="R518" s="18" t="s">
        <v>446</v>
      </c>
      <c r="S518" s="10" t="s">
        <v>344</v>
      </c>
      <c r="T518" s="10"/>
      <c r="U518" s="10"/>
      <c r="V518" s="10"/>
      <c r="W518" s="10"/>
      <c r="X518" s="10"/>
      <c r="Y518" s="10"/>
      <c r="Z518" s="10"/>
      <c r="AA518" s="10"/>
      <c r="AB518" s="10"/>
      <c r="AC518" s="10"/>
    </row>
    <row r="519" spans="1:29" s="7" customFormat="1" ht="317.10000000000002" customHeight="1" thickTop="1" thickBot="1" x14ac:dyDescent="0.8">
      <c r="A519" s="20">
        <v>515</v>
      </c>
      <c r="B519" s="19" t="s">
        <v>769</v>
      </c>
      <c r="C519" s="19" t="s">
        <v>511</v>
      </c>
      <c r="D519" s="176">
        <v>430019003072</v>
      </c>
      <c r="E519" s="20" t="s">
        <v>20</v>
      </c>
      <c r="F519" s="20">
        <v>4.5</v>
      </c>
      <c r="G519" s="21">
        <v>9.1962209999999995</v>
      </c>
      <c r="H519" s="21">
        <f t="shared" ref="H519:H521" si="73">+G519*0.005</f>
        <v>4.5981105000000001E-2</v>
      </c>
      <c r="I519" s="21">
        <v>0</v>
      </c>
      <c r="J519" s="21">
        <f>(141*1000/1000000)</f>
        <v>0.14099999999999999</v>
      </c>
      <c r="K519" s="21">
        <f t="shared" ref="K519:K521" si="74">+G519*(8.5/100)</f>
        <v>0.78167878499999999</v>
      </c>
      <c r="L519" s="22">
        <v>0</v>
      </c>
      <c r="M519" s="21">
        <f>(1732*1000/1000000)</f>
        <v>1.732</v>
      </c>
      <c r="N519" s="21">
        <f t="shared" si="64"/>
        <v>0.82765988999999995</v>
      </c>
      <c r="O519" s="21">
        <f t="shared" si="69"/>
        <v>1.873</v>
      </c>
      <c r="P519" s="21">
        <f t="shared" si="70"/>
        <v>-1.0453401100000002</v>
      </c>
      <c r="Q519" s="87" t="s">
        <v>284</v>
      </c>
      <c r="R519" s="89" t="s">
        <v>439</v>
      </c>
      <c r="S519" s="10" t="s">
        <v>282</v>
      </c>
      <c r="T519" s="10" t="s">
        <v>310</v>
      </c>
      <c r="U519" s="10"/>
      <c r="V519" s="10"/>
      <c r="W519" s="10"/>
      <c r="X519" s="10"/>
      <c r="Y519" s="10"/>
      <c r="Z519" s="10"/>
      <c r="AA519" s="10"/>
      <c r="AB519" s="10"/>
      <c r="AC519" s="10"/>
    </row>
    <row r="520" spans="1:29" s="7" customFormat="1" ht="327" customHeight="1" thickBot="1" x14ac:dyDescent="0.8">
      <c r="A520" s="20">
        <v>516</v>
      </c>
      <c r="B520" s="414" t="s">
        <v>770</v>
      </c>
      <c r="C520" s="414" t="s">
        <v>511</v>
      </c>
      <c r="D520" s="416">
        <v>170019033630</v>
      </c>
      <c r="E520" s="20" t="s">
        <v>18</v>
      </c>
      <c r="F520" s="20">
        <v>1</v>
      </c>
      <c r="G520" s="23">
        <v>5.8114999999999997</v>
      </c>
      <c r="H520" s="23">
        <f t="shared" si="73"/>
        <v>2.90575E-2</v>
      </c>
      <c r="I520" s="23">
        <v>0</v>
      </c>
      <c r="J520" s="23">
        <v>0</v>
      </c>
      <c r="K520" s="23">
        <f t="shared" si="74"/>
        <v>0.49397750000000001</v>
      </c>
      <c r="L520" s="45">
        <v>0</v>
      </c>
      <c r="M520" s="23">
        <v>0</v>
      </c>
      <c r="N520" s="23">
        <f t="shared" si="64"/>
        <v>0.52303500000000003</v>
      </c>
      <c r="O520" s="23">
        <f t="shared" si="69"/>
        <v>0</v>
      </c>
      <c r="P520" s="23">
        <f t="shared" si="70"/>
        <v>0.52303500000000003</v>
      </c>
      <c r="Q520" s="87" t="s">
        <v>284</v>
      </c>
      <c r="R520" s="89" t="s">
        <v>313</v>
      </c>
      <c r="S520" s="10" t="s">
        <v>282</v>
      </c>
      <c r="T520" s="10" t="s">
        <v>283</v>
      </c>
      <c r="U520" s="10"/>
      <c r="V520" s="10"/>
      <c r="W520" s="10"/>
      <c r="X520" s="10"/>
      <c r="Y520" s="10"/>
      <c r="Z520" s="10"/>
      <c r="AA520" s="10"/>
      <c r="AB520" s="10"/>
      <c r="AC520" s="10"/>
    </row>
    <row r="521" spans="1:29" s="7" customFormat="1" ht="321" customHeight="1" thickBot="1" x14ac:dyDescent="0.8">
      <c r="A521" s="20">
        <v>517</v>
      </c>
      <c r="B521" s="415"/>
      <c r="C521" s="415"/>
      <c r="D521" s="417"/>
      <c r="E521" s="20" t="s">
        <v>20</v>
      </c>
      <c r="F521" s="20">
        <v>1</v>
      </c>
      <c r="G521" s="21">
        <v>6.7320000000000002</v>
      </c>
      <c r="H521" s="21">
        <f t="shared" si="73"/>
        <v>3.3660000000000002E-2</v>
      </c>
      <c r="I521" s="21">
        <v>0</v>
      </c>
      <c r="J521" s="21">
        <v>0</v>
      </c>
      <c r="K521" s="21">
        <f t="shared" si="74"/>
        <v>0.57222000000000006</v>
      </c>
      <c r="L521" s="22">
        <v>0</v>
      </c>
      <c r="M521" s="21">
        <v>0</v>
      </c>
      <c r="N521" s="21">
        <f t="shared" si="64"/>
        <v>0.60588000000000009</v>
      </c>
      <c r="O521" s="21">
        <f t="shared" si="69"/>
        <v>0</v>
      </c>
      <c r="P521" s="21">
        <f t="shared" si="70"/>
        <v>0.60588000000000009</v>
      </c>
      <c r="Q521" s="87" t="s">
        <v>284</v>
      </c>
      <c r="R521" s="90" t="s">
        <v>162</v>
      </c>
      <c r="S521" s="10" t="s">
        <v>282</v>
      </c>
      <c r="T521" s="10" t="s">
        <v>283</v>
      </c>
      <c r="U521" s="10"/>
      <c r="V521" s="10"/>
      <c r="W521" s="10"/>
      <c r="X521" s="10"/>
      <c r="Y521" s="10"/>
      <c r="Z521" s="10"/>
      <c r="AA521" s="10"/>
      <c r="AB521" s="10"/>
      <c r="AC521" s="10"/>
    </row>
    <row r="522" spans="1:29" s="7" customFormat="1" ht="56.25" thickTop="1" x14ac:dyDescent="0.75">
      <c r="A522" s="91"/>
      <c r="B522" s="92"/>
      <c r="C522" s="92"/>
      <c r="D522" s="190"/>
      <c r="F522" s="91"/>
      <c r="G522" s="93"/>
      <c r="L522" s="92"/>
      <c r="R522" s="94"/>
    </row>
    <row r="523" spans="1:29" s="7" customFormat="1" ht="55.5" x14ac:dyDescent="0.75">
      <c r="A523" s="91"/>
      <c r="B523" s="92"/>
      <c r="C523" s="92"/>
      <c r="D523" s="190"/>
      <c r="F523" s="91"/>
      <c r="G523" s="93"/>
      <c r="L523" s="92"/>
      <c r="R523" s="94"/>
    </row>
    <row r="524" spans="1:29" s="7" customFormat="1" ht="55.5" x14ac:dyDescent="0.75">
      <c r="A524" s="91"/>
      <c r="B524" s="92"/>
      <c r="C524" s="92"/>
      <c r="D524" s="190"/>
      <c r="F524" s="91"/>
      <c r="G524" s="93"/>
      <c r="L524" s="92"/>
      <c r="R524" s="94"/>
    </row>
    <row r="525" spans="1:29" s="7" customFormat="1" ht="55.5" x14ac:dyDescent="0.75">
      <c r="A525" s="91"/>
      <c r="B525" s="92"/>
      <c r="C525" s="92"/>
      <c r="D525" s="190"/>
      <c r="F525" s="91"/>
      <c r="G525" s="93"/>
      <c r="L525" s="92"/>
      <c r="R525" s="94"/>
    </row>
    <row r="526" spans="1:29" s="7" customFormat="1" ht="55.5" x14ac:dyDescent="0.75">
      <c r="A526" s="91"/>
      <c r="B526" s="92"/>
      <c r="C526" s="92"/>
      <c r="D526" s="190"/>
      <c r="F526" s="91"/>
      <c r="G526" s="93"/>
      <c r="L526" s="92"/>
      <c r="R526" s="94"/>
    </row>
    <row r="527" spans="1:29" s="7" customFormat="1" ht="55.5" x14ac:dyDescent="0.75">
      <c r="A527" s="91"/>
      <c r="B527" s="92"/>
      <c r="C527" s="92"/>
      <c r="D527" s="190"/>
      <c r="F527" s="91"/>
      <c r="G527" s="93"/>
      <c r="L527" s="92"/>
      <c r="R527" s="94"/>
    </row>
    <row r="528" spans="1:29" s="7" customFormat="1" ht="55.5" x14ac:dyDescent="0.75">
      <c r="A528" s="91"/>
      <c r="B528" s="92"/>
      <c r="C528" s="92"/>
      <c r="D528" s="190"/>
      <c r="F528" s="91"/>
      <c r="G528" s="93"/>
      <c r="L528" s="92"/>
      <c r="R528" s="94"/>
    </row>
    <row r="529" spans="1:18" s="7" customFormat="1" ht="55.5" x14ac:dyDescent="0.75">
      <c r="A529" s="91"/>
      <c r="B529" s="92"/>
      <c r="C529" s="92"/>
      <c r="D529" s="190"/>
      <c r="F529" s="91"/>
      <c r="G529" s="93"/>
      <c r="L529" s="92"/>
      <c r="R529" s="94"/>
    </row>
    <row r="530" spans="1:18" s="7" customFormat="1" ht="55.5" x14ac:dyDescent="0.75">
      <c r="A530" s="91"/>
      <c r="B530" s="92"/>
      <c r="C530" s="92"/>
      <c r="D530" s="190"/>
      <c r="F530" s="91"/>
      <c r="G530" s="93"/>
      <c r="L530" s="92"/>
      <c r="R530" s="94"/>
    </row>
    <row r="531" spans="1:18" s="7" customFormat="1" ht="55.5" x14ac:dyDescent="0.75">
      <c r="A531" s="91"/>
      <c r="B531" s="92"/>
      <c r="C531" s="92"/>
      <c r="D531" s="190"/>
      <c r="F531" s="91"/>
      <c r="G531" s="93"/>
      <c r="L531" s="92"/>
      <c r="R531" s="94"/>
    </row>
    <row r="532" spans="1:18" s="7" customFormat="1" ht="55.5" x14ac:dyDescent="0.75">
      <c r="A532" s="91"/>
      <c r="B532" s="92"/>
      <c r="C532" s="92"/>
      <c r="D532" s="190"/>
      <c r="F532" s="91"/>
      <c r="G532" s="93"/>
      <c r="L532" s="92"/>
      <c r="R532" s="94"/>
    </row>
    <row r="533" spans="1:18" s="7" customFormat="1" ht="55.5" x14ac:dyDescent="0.75">
      <c r="A533" s="91"/>
      <c r="B533" s="92"/>
      <c r="C533" s="92"/>
      <c r="D533" s="190"/>
      <c r="F533" s="91"/>
      <c r="G533" s="93"/>
      <c r="L533" s="92"/>
      <c r="R533" s="94"/>
    </row>
    <row r="534" spans="1:18" s="7" customFormat="1" ht="55.5" x14ac:dyDescent="0.75">
      <c r="A534" s="91"/>
      <c r="B534" s="92"/>
      <c r="C534" s="92"/>
      <c r="D534" s="190"/>
      <c r="F534" s="91"/>
      <c r="G534" s="93"/>
      <c r="L534" s="92"/>
      <c r="R534" s="94"/>
    </row>
    <row r="535" spans="1:18" s="7" customFormat="1" ht="55.5" x14ac:dyDescent="0.75">
      <c r="A535" s="91"/>
      <c r="B535" s="92"/>
      <c r="C535" s="92"/>
      <c r="D535" s="190"/>
      <c r="F535" s="91"/>
      <c r="G535" s="93"/>
      <c r="L535" s="92"/>
      <c r="R535" s="94"/>
    </row>
    <row r="536" spans="1:18" s="7" customFormat="1" ht="55.5" x14ac:dyDescent="0.75">
      <c r="A536" s="91"/>
      <c r="B536" s="92"/>
      <c r="C536" s="92"/>
      <c r="D536" s="190"/>
      <c r="F536" s="91"/>
      <c r="G536" s="93"/>
      <c r="L536" s="92"/>
      <c r="R536" s="94"/>
    </row>
    <row r="537" spans="1:18" s="7" customFormat="1" ht="55.5" x14ac:dyDescent="0.75">
      <c r="A537" s="91"/>
      <c r="B537" s="92"/>
      <c r="C537" s="92"/>
      <c r="D537" s="190"/>
      <c r="F537" s="91"/>
      <c r="G537" s="93"/>
      <c r="L537" s="92"/>
      <c r="R537" s="94"/>
    </row>
    <row r="538" spans="1:18" s="7" customFormat="1" ht="55.5" x14ac:dyDescent="0.75">
      <c r="A538" s="91"/>
      <c r="B538" s="92"/>
      <c r="C538" s="92"/>
      <c r="D538" s="190"/>
      <c r="F538" s="91"/>
      <c r="G538" s="93"/>
      <c r="L538" s="92"/>
      <c r="R538" s="94"/>
    </row>
    <row r="539" spans="1:18" s="7" customFormat="1" ht="55.5" x14ac:dyDescent="0.75">
      <c r="A539" s="91"/>
      <c r="B539" s="92"/>
      <c r="C539" s="92"/>
      <c r="D539" s="190"/>
      <c r="F539" s="91"/>
      <c r="G539" s="93"/>
      <c r="L539" s="92"/>
      <c r="R539" s="94"/>
    </row>
    <row r="540" spans="1:18" s="7" customFormat="1" ht="55.5" x14ac:dyDescent="0.75">
      <c r="A540" s="91"/>
      <c r="B540" s="92"/>
      <c r="C540" s="92"/>
      <c r="D540" s="190"/>
      <c r="F540" s="91"/>
      <c r="G540" s="93"/>
      <c r="L540" s="92"/>
      <c r="R540" s="94"/>
    </row>
    <row r="541" spans="1:18" s="7" customFormat="1" ht="55.5" x14ac:dyDescent="0.75">
      <c r="A541" s="91"/>
      <c r="B541" s="92"/>
      <c r="C541" s="92"/>
      <c r="D541" s="190"/>
      <c r="F541" s="91"/>
      <c r="G541" s="93"/>
      <c r="L541" s="92"/>
      <c r="R541" s="94"/>
    </row>
    <row r="542" spans="1:18" s="7" customFormat="1" ht="55.5" x14ac:dyDescent="0.75">
      <c r="A542" s="91"/>
      <c r="B542" s="92"/>
      <c r="C542" s="92"/>
      <c r="D542" s="190"/>
      <c r="F542" s="91"/>
      <c r="G542" s="93"/>
      <c r="L542" s="92"/>
      <c r="R542" s="94"/>
    </row>
    <row r="543" spans="1:18" s="7" customFormat="1" ht="55.5" x14ac:dyDescent="0.75">
      <c r="A543" s="91"/>
      <c r="B543" s="92"/>
      <c r="C543" s="92"/>
      <c r="D543" s="190"/>
      <c r="F543" s="91"/>
      <c r="G543" s="93"/>
      <c r="L543" s="92"/>
      <c r="R543" s="94"/>
    </row>
    <row r="544" spans="1:18" s="7" customFormat="1" ht="55.5" x14ac:dyDescent="0.75">
      <c r="A544" s="91"/>
      <c r="B544" s="92"/>
      <c r="C544" s="92"/>
      <c r="D544" s="190"/>
      <c r="F544" s="91"/>
      <c r="G544" s="93"/>
      <c r="L544" s="92"/>
      <c r="R544" s="94"/>
    </row>
    <row r="545" spans="1:18" s="7" customFormat="1" ht="55.5" x14ac:dyDescent="0.75">
      <c r="A545" s="91"/>
      <c r="B545" s="92"/>
      <c r="C545" s="92"/>
      <c r="D545" s="190"/>
      <c r="F545" s="91"/>
      <c r="G545" s="93"/>
      <c r="L545" s="92"/>
      <c r="R545" s="94"/>
    </row>
    <row r="546" spans="1:18" s="7" customFormat="1" ht="55.5" x14ac:dyDescent="0.75">
      <c r="A546" s="91"/>
      <c r="B546" s="92"/>
      <c r="C546" s="92"/>
      <c r="D546" s="190"/>
      <c r="F546" s="91"/>
      <c r="G546" s="93"/>
      <c r="L546" s="92"/>
      <c r="R546" s="94"/>
    </row>
    <row r="547" spans="1:18" s="7" customFormat="1" ht="55.5" x14ac:dyDescent="0.75">
      <c r="A547" s="91"/>
      <c r="B547" s="92"/>
      <c r="C547" s="92"/>
      <c r="D547" s="190"/>
      <c r="F547" s="91"/>
      <c r="G547" s="93"/>
      <c r="L547" s="92"/>
      <c r="R547" s="94"/>
    </row>
    <row r="548" spans="1:18" s="7" customFormat="1" ht="55.5" x14ac:dyDescent="0.75">
      <c r="A548" s="91"/>
      <c r="B548" s="92"/>
      <c r="C548" s="92"/>
      <c r="D548" s="190"/>
      <c r="F548" s="91"/>
      <c r="G548" s="93"/>
      <c r="L548" s="92"/>
      <c r="R548" s="94"/>
    </row>
    <row r="549" spans="1:18" s="7" customFormat="1" ht="55.5" x14ac:dyDescent="0.75">
      <c r="A549" s="91"/>
      <c r="B549" s="92"/>
      <c r="C549" s="92"/>
      <c r="D549" s="190"/>
      <c r="F549" s="91"/>
      <c r="G549" s="93"/>
      <c r="L549" s="92"/>
      <c r="R549" s="94"/>
    </row>
    <row r="550" spans="1:18" s="7" customFormat="1" ht="55.5" x14ac:dyDescent="0.75">
      <c r="A550" s="91"/>
      <c r="B550" s="92"/>
      <c r="C550" s="92"/>
      <c r="D550" s="190"/>
      <c r="F550" s="91"/>
      <c r="G550" s="93"/>
      <c r="L550" s="92"/>
      <c r="R550" s="94"/>
    </row>
    <row r="551" spans="1:18" s="7" customFormat="1" ht="55.5" x14ac:dyDescent="0.75">
      <c r="A551" s="91"/>
      <c r="B551" s="92"/>
      <c r="C551" s="92"/>
      <c r="D551" s="190"/>
      <c r="F551" s="91"/>
      <c r="G551" s="93"/>
      <c r="L551" s="92"/>
      <c r="R551" s="94"/>
    </row>
    <row r="552" spans="1:18" s="7" customFormat="1" ht="55.5" x14ac:dyDescent="0.75">
      <c r="A552" s="91"/>
      <c r="B552" s="92"/>
      <c r="C552" s="92"/>
      <c r="D552" s="190"/>
      <c r="F552" s="91"/>
      <c r="G552" s="93"/>
      <c r="L552" s="92"/>
      <c r="R552" s="94"/>
    </row>
    <row r="553" spans="1:18" s="7" customFormat="1" ht="55.5" x14ac:dyDescent="0.75">
      <c r="A553" s="91"/>
      <c r="B553" s="92"/>
      <c r="C553" s="92"/>
      <c r="D553" s="190"/>
      <c r="F553" s="91"/>
      <c r="G553" s="93"/>
      <c r="L553" s="92"/>
      <c r="R553" s="94"/>
    </row>
    <row r="554" spans="1:18" s="7" customFormat="1" ht="55.5" x14ac:dyDescent="0.75">
      <c r="A554" s="91"/>
      <c r="B554" s="92"/>
      <c r="C554" s="92"/>
      <c r="D554" s="190"/>
      <c r="F554" s="91"/>
      <c r="G554" s="93"/>
      <c r="L554" s="92"/>
      <c r="R554" s="94"/>
    </row>
    <row r="555" spans="1:18" s="7" customFormat="1" ht="55.5" x14ac:dyDescent="0.75">
      <c r="A555" s="91"/>
      <c r="B555" s="92"/>
      <c r="C555" s="92"/>
      <c r="D555" s="190"/>
      <c r="F555" s="91"/>
      <c r="G555" s="93"/>
      <c r="L555" s="92"/>
      <c r="R555" s="94"/>
    </row>
    <row r="556" spans="1:18" s="7" customFormat="1" ht="55.5" x14ac:dyDescent="0.75">
      <c r="A556" s="91"/>
      <c r="B556" s="92"/>
      <c r="C556" s="92"/>
      <c r="D556" s="190"/>
      <c r="F556" s="91"/>
      <c r="G556" s="93"/>
      <c r="L556" s="92"/>
      <c r="R556" s="94"/>
    </row>
    <row r="557" spans="1:18" s="7" customFormat="1" ht="55.5" x14ac:dyDescent="0.75">
      <c r="A557" s="91"/>
      <c r="B557" s="92"/>
      <c r="C557" s="92"/>
      <c r="D557" s="190"/>
      <c r="F557" s="91"/>
      <c r="G557" s="93"/>
      <c r="L557" s="92"/>
      <c r="R557" s="94"/>
    </row>
    <row r="558" spans="1:18" s="7" customFormat="1" ht="55.5" x14ac:dyDescent="0.75">
      <c r="A558" s="91"/>
      <c r="B558" s="92"/>
      <c r="C558" s="92"/>
      <c r="D558" s="190"/>
      <c r="F558" s="91"/>
      <c r="G558" s="93"/>
      <c r="L558" s="92"/>
      <c r="R558" s="94"/>
    </row>
    <row r="559" spans="1:18" s="7" customFormat="1" ht="55.5" x14ac:dyDescent="0.75">
      <c r="A559" s="91"/>
      <c r="B559" s="92"/>
      <c r="C559" s="92"/>
      <c r="D559" s="190"/>
      <c r="F559" s="91"/>
      <c r="G559" s="93"/>
      <c r="L559" s="92"/>
      <c r="R559" s="94"/>
    </row>
    <row r="560" spans="1:18" s="7" customFormat="1" ht="55.5" x14ac:dyDescent="0.75">
      <c r="A560" s="91"/>
      <c r="B560" s="92"/>
      <c r="C560" s="92"/>
      <c r="D560" s="190"/>
      <c r="F560" s="91"/>
      <c r="G560" s="93"/>
      <c r="L560" s="92"/>
      <c r="R560" s="94"/>
    </row>
    <row r="561" spans="1:18" s="7" customFormat="1" ht="55.5" x14ac:dyDescent="0.75">
      <c r="A561" s="91"/>
      <c r="B561" s="92"/>
      <c r="C561" s="92"/>
      <c r="D561" s="190"/>
      <c r="F561" s="91"/>
      <c r="G561" s="93"/>
      <c r="L561" s="92"/>
      <c r="R561" s="94"/>
    </row>
    <row r="562" spans="1:18" s="7" customFormat="1" ht="55.5" x14ac:dyDescent="0.75">
      <c r="A562" s="91"/>
      <c r="B562" s="92"/>
      <c r="C562" s="92"/>
      <c r="D562" s="190"/>
      <c r="F562" s="91"/>
      <c r="G562" s="93"/>
      <c r="L562" s="92"/>
      <c r="R562" s="94"/>
    </row>
    <row r="563" spans="1:18" s="7" customFormat="1" ht="55.5" x14ac:dyDescent="0.75">
      <c r="A563" s="91"/>
      <c r="B563" s="92"/>
      <c r="C563" s="92"/>
      <c r="D563" s="190"/>
      <c r="F563" s="91"/>
      <c r="G563" s="93"/>
      <c r="L563" s="92"/>
      <c r="R563" s="94"/>
    </row>
    <row r="564" spans="1:18" s="7" customFormat="1" ht="55.5" x14ac:dyDescent="0.75">
      <c r="A564" s="91"/>
      <c r="B564" s="92"/>
      <c r="C564" s="92"/>
      <c r="D564" s="190"/>
      <c r="F564" s="91"/>
      <c r="G564" s="93"/>
      <c r="L564" s="92"/>
      <c r="R564" s="94"/>
    </row>
    <row r="565" spans="1:18" s="7" customFormat="1" ht="55.5" x14ac:dyDescent="0.75">
      <c r="A565" s="91"/>
      <c r="B565" s="92"/>
      <c r="C565" s="92"/>
      <c r="D565" s="190"/>
      <c r="F565" s="91"/>
      <c r="G565" s="93"/>
      <c r="L565" s="92"/>
      <c r="R565" s="94"/>
    </row>
    <row r="566" spans="1:18" s="7" customFormat="1" ht="55.5" x14ac:dyDescent="0.75">
      <c r="A566" s="91"/>
      <c r="B566" s="92"/>
      <c r="C566" s="92"/>
      <c r="D566" s="190"/>
      <c r="F566" s="91"/>
      <c r="G566" s="93"/>
      <c r="L566" s="92"/>
      <c r="R566" s="94"/>
    </row>
    <row r="567" spans="1:18" s="7" customFormat="1" ht="55.5" x14ac:dyDescent="0.75">
      <c r="A567" s="91"/>
      <c r="B567" s="92"/>
      <c r="C567" s="92"/>
      <c r="D567" s="190"/>
      <c r="F567" s="91"/>
      <c r="G567" s="93"/>
      <c r="L567" s="92"/>
      <c r="R567" s="94"/>
    </row>
    <row r="568" spans="1:18" s="7" customFormat="1" ht="55.5" x14ac:dyDescent="0.75">
      <c r="A568" s="91"/>
      <c r="B568" s="92"/>
      <c r="C568" s="92"/>
      <c r="D568" s="190"/>
      <c r="F568" s="91"/>
      <c r="G568" s="93"/>
      <c r="L568" s="92"/>
      <c r="R568" s="94"/>
    </row>
    <row r="569" spans="1:18" s="7" customFormat="1" ht="55.5" x14ac:dyDescent="0.75">
      <c r="A569" s="91"/>
      <c r="B569" s="92"/>
      <c r="C569" s="92"/>
      <c r="D569" s="190"/>
      <c r="F569" s="91"/>
      <c r="G569" s="93"/>
      <c r="L569" s="92"/>
      <c r="R569" s="94"/>
    </row>
    <row r="570" spans="1:18" s="7" customFormat="1" ht="55.5" x14ac:dyDescent="0.75">
      <c r="A570" s="91"/>
      <c r="B570" s="92"/>
      <c r="C570" s="92"/>
      <c r="D570" s="190"/>
      <c r="F570" s="91"/>
      <c r="G570" s="93"/>
      <c r="L570" s="92"/>
      <c r="R570" s="94"/>
    </row>
    <row r="571" spans="1:18" s="7" customFormat="1" ht="55.5" x14ac:dyDescent="0.75">
      <c r="A571" s="91"/>
      <c r="B571" s="92"/>
      <c r="C571" s="92"/>
      <c r="D571" s="190"/>
      <c r="F571" s="91"/>
      <c r="G571" s="93"/>
      <c r="L571" s="92"/>
      <c r="R571" s="94"/>
    </row>
    <row r="572" spans="1:18" s="7" customFormat="1" ht="55.5" x14ac:dyDescent="0.75">
      <c r="A572" s="91"/>
      <c r="B572" s="92"/>
      <c r="C572" s="92"/>
      <c r="D572" s="190"/>
      <c r="F572" s="91"/>
      <c r="G572" s="93"/>
      <c r="L572" s="92"/>
      <c r="R572" s="94"/>
    </row>
    <row r="573" spans="1:18" s="7" customFormat="1" ht="55.5" x14ac:dyDescent="0.75">
      <c r="A573" s="91"/>
      <c r="B573" s="92"/>
      <c r="C573" s="92"/>
      <c r="D573" s="190"/>
      <c r="F573" s="91"/>
      <c r="G573" s="93"/>
      <c r="L573" s="92"/>
      <c r="R573" s="94"/>
    </row>
    <row r="574" spans="1:18" s="7" customFormat="1" ht="55.5" x14ac:dyDescent="0.75">
      <c r="A574" s="91"/>
      <c r="B574" s="92"/>
      <c r="C574" s="92"/>
      <c r="D574" s="190"/>
      <c r="F574" s="91"/>
      <c r="G574" s="93"/>
      <c r="L574" s="92"/>
      <c r="R574" s="94"/>
    </row>
    <row r="575" spans="1:18" s="7" customFormat="1" ht="55.5" x14ac:dyDescent="0.75">
      <c r="A575" s="91"/>
      <c r="B575" s="92"/>
      <c r="C575" s="92"/>
      <c r="D575" s="190"/>
      <c r="F575" s="91"/>
      <c r="G575" s="93"/>
      <c r="L575" s="92"/>
      <c r="R575" s="94"/>
    </row>
    <row r="576" spans="1:18" s="7" customFormat="1" ht="55.5" x14ac:dyDescent="0.75">
      <c r="A576" s="91"/>
      <c r="B576" s="92"/>
      <c r="C576" s="92"/>
      <c r="D576" s="190"/>
      <c r="F576" s="91"/>
      <c r="G576" s="93"/>
      <c r="L576" s="92"/>
      <c r="R576" s="94"/>
    </row>
    <row r="577" spans="1:18" s="7" customFormat="1" ht="55.5" x14ac:dyDescent="0.75">
      <c r="A577" s="91"/>
      <c r="B577" s="92"/>
      <c r="C577" s="92"/>
      <c r="D577" s="190"/>
      <c r="F577" s="91"/>
      <c r="G577" s="93"/>
      <c r="L577" s="92"/>
      <c r="R577" s="94"/>
    </row>
    <row r="578" spans="1:18" s="7" customFormat="1" ht="55.5" x14ac:dyDescent="0.75">
      <c r="A578" s="91"/>
      <c r="B578" s="92"/>
      <c r="C578" s="92"/>
      <c r="D578" s="190"/>
      <c r="F578" s="91"/>
      <c r="G578" s="93"/>
      <c r="L578" s="92"/>
      <c r="R578" s="94"/>
    </row>
    <row r="579" spans="1:18" s="7" customFormat="1" ht="55.5" x14ac:dyDescent="0.75">
      <c r="A579" s="91"/>
      <c r="B579" s="92"/>
      <c r="C579" s="92"/>
      <c r="D579" s="190"/>
      <c r="F579" s="91"/>
      <c r="G579" s="93"/>
      <c r="L579" s="92"/>
      <c r="R579" s="94"/>
    </row>
    <row r="580" spans="1:18" s="7" customFormat="1" ht="55.5" x14ac:dyDescent="0.75">
      <c r="A580" s="91"/>
      <c r="B580" s="92"/>
      <c r="C580" s="92"/>
      <c r="D580" s="190"/>
      <c r="F580" s="91"/>
      <c r="G580" s="93"/>
      <c r="L580" s="92"/>
      <c r="R580" s="94"/>
    </row>
    <row r="581" spans="1:18" s="7" customFormat="1" ht="55.5" x14ac:dyDescent="0.75">
      <c r="A581" s="91"/>
      <c r="B581" s="92"/>
      <c r="C581" s="92"/>
      <c r="D581" s="190"/>
      <c r="F581" s="91"/>
      <c r="G581" s="93"/>
      <c r="L581" s="92"/>
      <c r="R581" s="94"/>
    </row>
    <row r="582" spans="1:18" s="7" customFormat="1" ht="55.5" x14ac:dyDescent="0.75">
      <c r="A582" s="91"/>
      <c r="B582" s="92"/>
      <c r="C582" s="92"/>
      <c r="D582" s="190"/>
      <c r="F582" s="91"/>
      <c r="G582" s="93"/>
      <c r="L582" s="92"/>
      <c r="R582" s="94"/>
    </row>
    <row r="583" spans="1:18" s="7" customFormat="1" ht="55.5" x14ac:dyDescent="0.75">
      <c r="A583" s="91"/>
      <c r="B583" s="92"/>
      <c r="C583" s="92"/>
      <c r="D583" s="190"/>
      <c r="F583" s="91"/>
      <c r="G583" s="93"/>
      <c r="L583" s="92"/>
      <c r="R583" s="94"/>
    </row>
    <row r="584" spans="1:18" s="7" customFormat="1" ht="55.5" x14ac:dyDescent="0.75">
      <c r="A584" s="91"/>
      <c r="B584" s="92"/>
      <c r="C584" s="92"/>
      <c r="D584" s="190"/>
      <c r="F584" s="91"/>
      <c r="G584" s="93"/>
      <c r="L584" s="92"/>
      <c r="R584" s="94"/>
    </row>
    <row r="585" spans="1:18" s="7" customFormat="1" ht="55.5" x14ac:dyDescent="0.75">
      <c r="A585" s="91"/>
      <c r="B585" s="92"/>
      <c r="C585" s="92"/>
      <c r="D585" s="190"/>
      <c r="F585" s="91"/>
      <c r="G585" s="93"/>
      <c r="L585" s="92"/>
      <c r="R585" s="94"/>
    </row>
    <row r="586" spans="1:18" s="7" customFormat="1" ht="55.5" x14ac:dyDescent="0.75">
      <c r="A586" s="91"/>
      <c r="B586" s="92"/>
      <c r="C586" s="92"/>
      <c r="D586" s="190"/>
      <c r="F586" s="91"/>
      <c r="G586" s="93"/>
      <c r="L586" s="92"/>
      <c r="R586" s="94"/>
    </row>
    <row r="587" spans="1:18" s="7" customFormat="1" ht="55.5" x14ac:dyDescent="0.75">
      <c r="A587" s="91"/>
      <c r="B587" s="92"/>
      <c r="C587" s="92"/>
      <c r="D587" s="190"/>
      <c r="F587" s="91"/>
      <c r="G587" s="93"/>
      <c r="L587" s="92"/>
      <c r="R587" s="94"/>
    </row>
    <row r="588" spans="1:18" s="7" customFormat="1" ht="55.5" x14ac:dyDescent="0.75">
      <c r="A588" s="91"/>
      <c r="B588" s="92"/>
      <c r="C588" s="92"/>
      <c r="D588" s="190"/>
      <c r="F588" s="91"/>
      <c r="G588" s="93"/>
      <c r="L588" s="92"/>
      <c r="R588" s="94"/>
    </row>
    <row r="589" spans="1:18" s="7" customFormat="1" ht="55.5" x14ac:dyDescent="0.75">
      <c r="A589" s="91"/>
      <c r="B589" s="92"/>
      <c r="C589" s="92"/>
      <c r="D589" s="190"/>
      <c r="F589" s="91"/>
      <c r="G589" s="93"/>
      <c r="L589" s="92"/>
      <c r="R589" s="94"/>
    </row>
    <row r="590" spans="1:18" s="7" customFormat="1" ht="55.5" x14ac:dyDescent="0.75">
      <c r="A590" s="91"/>
      <c r="B590" s="92"/>
      <c r="C590" s="92"/>
      <c r="D590" s="190"/>
      <c r="F590" s="91"/>
      <c r="G590" s="93"/>
      <c r="L590" s="92"/>
      <c r="R590" s="94"/>
    </row>
    <row r="591" spans="1:18" s="7" customFormat="1" ht="55.5" x14ac:dyDescent="0.75">
      <c r="A591" s="91"/>
      <c r="B591" s="92"/>
      <c r="C591" s="92"/>
      <c r="D591" s="190"/>
      <c r="F591" s="91"/>
      <c r="G591" s="93"/>
      <c r="L591" s="92"/>
      <c r="R591" s="94"/>
    </row>
    <row r="592" spans="1:18" s="7" customFormat="1" ht="55.5" x14ac:dyDescent="0.75">
      <c r="A592" s="91"/>
      <c r="B592" s="92"/>
      <c r="C592" s="92"/>
      <c r="D592" s="190"/>
      <c r="F592" s="91"/>
      <c r="G592" s="93"/>
      <c r="L592" s="92"/>
      <c r="R592" s="94"/>
    </row>
    <row r="593" spans="1:18" s="7" customFormat="1" ht="55.5" x14ac:dyDescent="0.75">
      <c r="A593" s="91"/>
      <c r="B593" s="92"/>
      <c r="C593" s="92"/>
      <c r="D593" s="190"/>
      <c r="F593" s="91"/>
      <c r="G593" s="93"/>
      <c r="L593" s="92"/>
      <c r="R593" s="94"/>
    </row>
    <row r="594" spans="1:18" s="7" customFormat="1" ht="55.5" x14ac:dyDescent="0.75">
      <c r="A594" s="91"/>
      <c r="B594" s="92"/>
      <c r="C594" s="92"/>
      <c r="D594" s="190"/>
      <c r="F594" s="91"/>
      <c r="G594" s="93"/>
      <c r="L594" s="92"/>
      <c r="R594" s="94"/>
    </row>
    <row r="595" spans="1:18" s="7" customFormat="1" ht="55.5" x14ac:dyDescent="0.75">
      <c r="A595" s="91"/>
      <c r="B595" s="92"/>
      <c r="C595" s="92"/>
      <c r="D595" s="190"/>
      <c r="F595" s="91"/>
      <c r="G595" s="93"/>
      <c r="L595" s="92"/>
      <c r="R595" s="94"/>
    </row>
    <row r="596" spans="1:18" s="7" customFormat="1" ht="55.5" x14ac:dyDescent="0.75">
      <c r="A596" s="91"/>
      <c r="B596" s="92"/>
      <c r="C596" s="92"/>
      <c r="D596" s="190"/>
      <c r="F596" s="91"/>
      <c r="G596" s="93"/>
      <c r="L596" s="92"/>
      <c r="R596" s="94"/>
    </row>
    <row r="597" spans="1:18" s="7" customFormat="1" ht="55.5" x14ac:dyDescent="0.75">
      <c r="A597" s="91"/>
      <c r="B597" s="92"/>
      <c r="C597" s="92"/>
      <c r="D597" s="190"/>
      <c r="F597" s="91"/>
      <c r="G597" s="93"/>
      <c r="L597" s="92"/>
      <c r="R597" s="94"/>
    </row>
    <row r="598" spans="1:18" s="7" customFormat="1" ht="55.5" x14ac:dyDescent="0.75">
      <c r="A598" s="91"/>
      <c r="B598" s="92"/>
      <c r="C598" s="92"/>
      <c r="D598" s="190"/>
      <c r="F598" s="91"/>
      <c r="G598" s="93"/>
      <c r="L598" s="92"/>
      <c r="R598" s="94"/>
    </row>
    <row r="599" spans="1:18" s="7" customFormat="1" ht="55.5" x14ac:dyDescent="0.75">
      <c r="A599" s="91"/>
      <c r="B599" s="92"/>
      <c r="C599" s="92"/>
      <c r="D599" s="190"/>
      <c r="F599" s="91"/>
      <c r="G599" s="93"/>
      <c r="L599" s="92"/>
      <c r="R599" s="94"/>
    </row>
    <row r="600" spans="1:18" s="7" customFormat="1" ht="55.5" x14ac:dyDescent="0.75">
      <c r="A600" s="91"/>
      <c r="B600" s="92"/>
      <c r="C600" s="92"/>
      <c r="D600" s="190"/>
      <c r="F600" s="91"/>
      <c r="G600" s="93"/>
      <c r="L600" s="92"/>
      <c r="R600" s="94"/>
    </row>
    <row r="601" spans="1:18" s="7" customFormat="1" ht="55.5" x14ac:dyDescent="0.75">
      <c r="A601" s="91"/>
      <c r="B601" s="92"/>
      <c r="C601" s="92"/>
      <c r="D601" s="190"/>
      <c r="F601" s="91"/>
      <c r="G601" s="93"/>
      <c r="L601" s="92"/>
      <c r="R601" s="94"/>
    </row>
    <row r="602" spans="1:18" s="7" customFormat="1" ht="55.5" x14ac:dyDescent="0.75">
      <c r="A602" s="91"/>
      <c r="B602" s="92"/>
      <c r="C602" s="92"/>
      <c r="D602" s="190"/>
      <c r="F602" s="91"/>
      <c r="G602" s="93"/>
      <c r="L602" s="92"/>
      <c r="R602" s="94"/>
    </row>
    <row r="603" spans="1:18" s="7" customFormat="1" ht="55.5" x14ac:dyDescent="0.75">
      <c r="A603" s="91"/>
      <c r="B603" s="92"/>
      <c r="C603" s="92"/>
      <c r="D603" s="190"/>
      <c r="F603" s="91"/>
      <c r="G603" s="93"/>
      <c r="L603" s="92"/>
      <c r="R603" s="94"/>
    </row>
    <row r="604" spans="1:18" s="7" customFormat="1" ht="55.5" x14ac:dyDescent="0.75">
      <c r="A604" s="91"/>
      <c r="B604" s="92"/>
      <c r="C604" s="92"/>
      <c r="D604" s="190"/>
      <c r="F604" s="91"/>
      <c r="G604" s="93"/>
      <c r="L604" s="92"/>
      <c r="R604" s="94"/>
    </row>
    <row r="605" spans="1:18" s="7" customFormat="1" ht="55.5" x14ac:dyDescent="0.75">
      <c r="A605" s="91"/>
      <c r="B605" s="92"/>
      <c r="C605" s="92"/>
      <c r="D605" s="190"/>
      <c r="F605" s="91"/>
      <c r="G605" s="93"/>
      <c r="L605" s="92"/>
      <c r="R605" s="94"/>
    </row>
    <row r="606" spans="1:18" s="7" customFormat="1" ht="55.5" x14ac:dyDescent="0.75">
      <c r="A606" s="91"/>
      <c r="B606" s="92"/>
      <c r="C606" s="92"/>
      <c r="D606" s="190"/>
      <c r="F606" s="91"/>
      <c r="G606" s="93"/>
      <c r="L606" s="92"/>
      <c r="R606" s="94"/>
    </row>
    <row r="607" spans="1:18" s="7" customFormat="1" ht="55.5" x14ac:dyDescent="0.75">
      <c r="A607" s="91"/>
      <c r="B607" s="92"/>
      <c r="C607" s="92"/>
      <c r="D607" s="190"/>
      <c r="F607" s="91"/>
      <c r="G607" s="93"/>
      <c r="L607" s="92"/>
      <c r="R607" s="94"/>
    </row>
    <row r="608" spans="1:18" s="7" customFormat="1" ht="55.5" x14ac:dyDescent="0.75">
      <c r="A608" s="91"/>
      <c r="B608" s="92"/>
      <c r="C608" s="92"/>
      <c r="D608" s="190"/>
      <c r="F608" s="91"/>
      <c r="G608" s="93"/>
      <c r="L608" s="92"/>
      <c r="R608" s="94"/>
    </row>
    <row r="609" spans="1:18" s="7" customFormat="1" ht="55.5" x14ac:dyDescent="0.75">
      <c r="A609" s="91"/>
      <c r="B609" s="92"/>
      <c r="C609" s="92"/>
      <c r="D609" s="190"/>
      <c r="F609" s="91"/>
      <c r="G609" s="93"/>
      <c r="L609" s="92"/>
      <c r="R609" s="94"/>
    </row>
    <row r="610" spans="1:18" s="7" customFormat="1" ht="55.5" x14ac:dyDescent="0.75">
      <c r="A610" s="91"/>
      <c r="B610" s="92"/>
      <c r="C610" s="92"/>
      <c r="D610" s="190"/>
      <c r="F610" s="91"/>
      <c r="G610" s="93"/>
      <c r="L610" s="92"/>
      <c r="R610" s="94"/>
    </row>
    <row r="611" spans="1:18" s="7" customFormat="1" ht="55.5" x14ac:dyDescent="0.75">
      <c r="A611" s="91"/>
      <c r="B611" s="92"/>
      <c r="C611" s="92"/>
      <c r="D611" s="190"/>
      <c r="F611" s="91"/>
      <c r="G611" s="93"/>
      <c r="L611" s="92"/>
      <c r="R611" s="94"/>
    </row>
    <row r="612" spans="1:18" s="7" customFormat="1" ht="55.5" x14ac:dyDescent="0.75">
      <c r="A612" s="91"/>
      <c r="B612" s="92"/>
      <c r="C612" s="92"/>
      <c r="D612" s="190"/>
      <c r="F612" s="91"/>
      <c r="G612" s="93"/>
      <c r="L612" s="92"/>
      <c r="R612" s="94"/>
    </row>
    <row r="613" spans="1:18" s="7" customFormat="1" ht="55.5" x14ac:dyDescent="0.75">
      <c r="A613" s="91"/>
      <c r="B613" s="92"/>
      <c r="C613" s="92"/>
      <c r="D613" s="190"/>
      <c r="F613" s="91"/>
      <c r="G613" s="93"/>
      <c r="L613" s="92"/>
      <c r="R613" s="94"/>
    </row>
    <row r="614" spans="1:18" s="7" customFormat="1" ht="55.5" x14ac:dyDescent="0.75">
      <c r="A614" s="91"/>
      <c r="B614" s="92"/>
      <c r="C614" s="92"/>
      <c r="D614" s="190"/>
      <c r="F614" s="91"/>
      <c r="G614" s="93"/>
      <c r="L614" s="92"/>
      <c r="R614" s="94"/>
    </row>
    <row r="615" spans="1:18" s="7" customFormat="1" ht="55.5" x14ac:dyDescent="0.75">
      <c r="A615" s="91"/>
      <c r="B615" s="92"/>
      <c r="C615" s="92"/>
      <c r="D615" s="190"/>
      <c r="F615" s="91"/>
      <c r="G615" s="93"/>
      <c r="L615" s="92"/>
      <c r="R615" s="94"/>
    </row>
    <row r="616" spans="1:18" s="7" customFormat="1" ht="55.5" x14ac:dyDescent="0.75">
      <c r="A616" s="91"/>
      <c r="B616" s="92"/>
      <c r="C616" s="92"/>
      <c r="D616" s="190"/>
      <c r="F616" s="91"/>
      <c r="G616" s="93"/>
      <c r="L616" s="92"/>
      <c r="R616" s="94"/>
    </row>
    <row r="617" spans="1:18" s="7" customFormat="1" ht="55.5" x14ac:dyDescent="0.75">
      <c r="A617" s="91"/>
      <c r="B617" s="92"/>
      <c r="C617" s="92"/>
      <c r="D617" s="190"/>
      <c r="F617" s="91"/>
      <c r="G617" s="93"/>
      <c r="L617" s="92"/>
      <c r="R617" s="94"/>
    </row>
    <row r="618" spans="1:18" s="7" customFormat="1" ht="55.5" x14ac:dyDescent="0.75">
      <c r="A618" s="91"/>
      <c r="B618" s="92"/>
      <c r="C618" s="92"/>
      <c r="D618" s="190"/>
      <c r="F618" s="91"/>
      <c r="G618" s="93"/>
      <c r="L618" s="92"/>
      <c r="R618" s="94"/>
    </row>
    <row r="619" spans="1:18" s="7" customFormat="1" ht="55.5" x14ac:dyDescent="0.75">
      <c r="A619" s="91"/>
      <c r="B619" s="92"/>
      <c r="C619" s="92"/>
      <c r="D619" s="190"/>
      <c r="F619" s="91"/>
      <c r="G619" s="93"/>
      <c r="L619" s="92"/>
      <c r="R619" s="94"/>
    </row>
    <row r="620" spans="1:18" s="7" customFormat="1" ht="55.5" x14ac:dyDescent="0.75">
      <c r="A620" s="91"/>
      <c r="B620" s="92"/>
      <c r="C620" s="92"/>
      <c r="D620" s="190"/>
      <c r="F620" s="91"/>
      <c r="G620" s="93"/>
      <c r="L620" s="92"/>
      <c r="R620" s="94"/>
    </row>
    <row r="621" spans="1:18" s="7" customFormat="1" ht="55.5" x14ac:dyDescent="0.75">
      <c r="A621" s="91"/>
      <c r="B621" s="92"/>
      <c r="C621" s="92"/>
      <c r="D621" s="190"/>
      <c r="F621" s="91"/>
      <c r="G621" s="93"/>
      <c r="L621" s="92"/>
      <c r="R621" s="94"/>
    </row>
    <row r="622" spans="1:18" s="7" customFormat="1" ht="55.5" x14ac:dyDescent="0.75">
      <c r="A622" s="91"/>
      <c r="B622" s="92"/>
      <c r="C622" s="92"/>
      <c r="D622" s="190"/>
      <c r="F622" s="91"/>
      <c r="G622" s="93"/>
      <c r="L622" s="92"/>
      <c r="R622" s="94"/>
    </row>
    <row r="623" spans="1:18" s="7" customFormat="1" ht="55.5" x14ac:dyDescent="0.75">
      <c r="A623" s="91"/>
      <c r="B623" s="92"/>
      <c r="C623" s="92"/>
      <c r="D623" s="190"/>
      <c r="F623" s="91"/>
      <c r="G623" s="93"/>
      <c r="L623" s="92"/>
      <c r="R623" s="94"/>
    </row>
    <row r="624" spans="1:18" s="7" customFormat="1" ht="55.5" x14ac:dyDescent="0.75">
      <c r="A624" s="91"/>
      <c r="B624" s="92"/>
      <c r="C624" s="92"/>
      <c r="D624" s="190"/>
      <c r="F624" s="91"/>
      <c r="G624" s="93"/>
      <c r="L624" s="92"/>
      <c r="R624" s="94"/>
    </row>
    <row r="625" spans="1:18" s="7" customFormat="1" ht="55.5" x14ac:dyDescent="0.75">
      <c r="A625" s="91"/>
      <c r="B625" s="92"/>
      <c r="C625" s="92"/>
      <c r="D625" s="190"/>
      <c r="F625" s="91"/>
      <c r="G625" s="93"/>
      <c r="L625" s="92"/>
      <c r="R625" s="94"/>
    </row>
    <row r="626" spans="1:18" s="7" customFormat="1" ht="55.5" x14ac:dyDescent="0.75">
      <c r="A626" s="91"/>
      <c r="B626" s="92"/>
      <c r="C626" s="92"/>
      <c r="D626" s="190"/>
      <c r="F626" s="91"/>
      <c r="G626" s="93"/>
      <c r="L626" s="92"/>
      <c r="R626" s="94"/>
    </row>
    <row r="627" spans="1:18" s="7" customFormat="1" ht="55.5" x14ac:dyDescent="0.75">
      <c r="A627" s="91"/>
      <c r="B627" s="92"/>
      <c r="C627" s="92"/>
      <c r="D627" s="190"/>
      <c r="F627" s="91"/>
      <c r="G627" s="93"/>
      <c r="L627" s="92"/>
      <c r="R627" s="94"/>
    </row>
    <row r="628" spans="1:18" s="7" customFormat="1" ht="55.5" x14ac:dyDescent="0.75">
      <c r="A628" s="91"/>
      <c r="B628" s="92"/>
      <c r="C628" s="92"/>
      <c r="D628" s="190"/>
      <c r="F628" s="91"/>
      <c r="G628" s="93"/>
      <c r="L628" s="92"/>
      <c r="R628" s="94"/>
    </row>
    <row r="629" spans="1:18" s="7" customFormat="1" ht="55.5" x14ac:dyDescent="0.75">
      <c r="A629" s="91"/>
      <c r="B629" s="92"/>
      <c r="C629" s="92"/>
      <c r="D629" s="190"/>
      <c r="F629" s="91"/>
      <c r="G629" s="93"/>
      <c r="L629" s="92"/>
      <c r="R629" s="94"/>
    </row>
    <row r="630" spans="1:18" s="7" customFormat="1" ht="55.5" x14ac:dyDescent="0.75">
      <c r="A630" s="91"/>
      <c r="B630" s="92"/>
      <c r="C630" s="92"/>
      <c r="D630" s="190"/>
      <c r="F630" s="91"/>
      <c r="G630" s="93"/>
      <c r="L630" s="92"/>
      <c r="R630" s="94"/>
    </row>
    <row r="631" spans="1:18" s="7" customFormat="1" ht="55.5" x14ac:dyDescent="0.75">
      <c r="A631" s="91"/>
      <c r="B631" s="92"/>
      <c r="C631" s="92"/>
      <c r="D631" s="190"/>
      <c r="F631" s="91"/>
      <c r="G631" s="93"/>
      <c r="L631" s="92"/>
      <c r="R631" s="94"/>
    </row>
    <row r="632" spans="1:18" s="7" customFormat="1" ht="55.5" x14ac:dyDescent="0.75">
      <c r="A632" s="91"/>
      <c r="B632" s="92"/>
      <c r="C632" s="92"/>
      <c r="D632" s="190"/>
      <c r="F632" s="91"/>
      <c r="G632" s="93"/>
      <c r="L632" s="92"/>
      <c r="R632" s="94"/>
    </row>
    <row r="633" spans="1:18" s="7" customFormat="1" ht="55.5" x14ac:dyDescent="0.75">
      <c r="A633" s="91"/>
      <c r="B633" s="92"/>
      <c r="C633" s="92"/>
      <c r="D633" s="190"/>
      <c r="F633" s="91"/>
      <c r="G633" s="93"/>
      <c r="L633" s="92"/>
      <c r="R633" s="94"/>
    </row>
    <row r="634" spans="1:18" s="7" customFormat="1" ht="55.5" x14ac:dyDescent="0.75">
      <c r="A634" s="91"/>
      <c r="B634" s="92"/>
      <c r="C634" s="92"/>
      <c r="D634" s="190"/>
      <c r="F634" s="91"/>
      <c r="G634" s="93"/>
      <c r="L634" s="92"/>
      <c r="R634" s="94"/>
    </row>
    <row r="635" spans="1:18" s="7" customFormat="1" ht="55.5" x14ac:dyDescent="0.75">
      <c r="A635" s="91"/>
      <c r="B635" s="92"/>
      <c r="C635" s="92"/>
      <c r="D635" s="190"/>
      <c r="F635" s="91"/>
      <c r="G635" s="93"/>
      <c r="L635" s="92"/>
      <c r="R635" s="94"/>
    </row>
    <row r="636" spans="1:18" s="7" customFormat="1" ht="55.5" x14ac:dyDescent="0.75">
      <c r="A636" s="91"/>
      <c r="B636" s="92"/>
      <c r="C636" s="92"/>
      <c r="D636" s="190"/>
      <c r="F636" s="91"/>
      <c r="G636" s="93"/>
      <c r="L636" s="92"/>
      <c r="R636" s="94"/>
    </row>
    <row r="637" spans="1:18" s="7" customFormat="1" ht="55.5" x14ac:dyDescent="0.75">
      <c r="A637" s="91"/>
      <c r="B637" s="92"/>
      <c r="C637" s="92"/>
      <c r="D637" s="190"/>
      <c r="F637" s="91"/>
      <c r="G637" s="93"/>
      <c r="L637" s="92"/>
      <c r="R637" s="94"/>
    </row>
    <row r="638" spans="1:18" s="7" customFormat="1" ht="55.5" x14ac:dyDescent="0.75">
      <c r="A638" s="91"/>
      <c r="B638" s="92"/>
      <c r="C638" s="92"/>
      <c r="D638" s="190"/>
      <c r="F638" s="91"/>
      <c r="G638" s="93"/>
      <c r="L638" s="92"/>
      <c r="R638" s="94"/>
    </row>
    <row r="639" spans="1:18" s="7" customFormat="1" ht="55.5" x14ac:dyDescent="0.75">
      <c r="A639" s="91"/>
      <c r="B639" s="92"/>
      <c r="C639" s="92"/>
      <c r="D639" s="190"/>
      <c r="F639" s="91"/>
      <c r="G639" s="93"/>
      <c r="L639" s="92"/>
      <c r="R639" s="94"/>
    </row>
    <row r="640" spans="1:18" s="7" customFormat="1" ht="55.5" x14ac:dyDescent="0.75">
      <c r="A640" s="91"/>
      <c r="B640" s="92"/>
      <c r="C640" s="92"/>
      <c r="D640" s="190"/>
      <c r="F640" s="91"/>
      <c r="G640" s="93"/>
      <c r="L640" s="92"/>
      <c r="R640" s="94"/>
    </row>
    <row r="641" spans="1:18" s="7" customFormat="1" ht="55.5" x14ac:dyDescent="0.75">
      <c r="A641" s="91"/>
      <c r="B641" s="92"/>
      <c r="C641" s="92"/>
      <c r="D641" s="190"/>
      <c r="F641" s="91"/>
      <c r="G641" s="93"/>
      <c r="L641" s="92"/>
      <c r="R641" s="94"/>
    </row>
    <row r="642" spans="1:18" s="7" customFormat="1" ht="55.5" x14ac:dyDescent="0.75">
      <c r="A642" s="91"/>
      <c r="B642" s="92"/>
      <c r="C642" s="92"/>
      <c r="D642" s="190"/>
      <c r="F642" s="91"/>
      <c r="G642" s="93"/>
      <c r="L642" s="92"/>
      <c r="R642" s="94"/>
    </row>
    <row r="643" spans="1:18" s="7" customFormat="1" ht="55.5" x14ac:dyDescent="0.75">
      <c r="A643" s="91"/>
      <c r="B643" s="92"/>
      <c r="C643" s="92"/>
      <c r="D643" s="190"/>
      <c r="F643" s="91"/>
      <c r="G643" s="93"/>
      <c r="L643" s="92"/>
      <c r="R643" s="94"/>
    </row>
    <row r="644" spans="1:18" s="7" customFormat="1" ht="55.5" x14ac:dyDescent="0.75">
      <c r="A644" s="91"/>
      <c r="B644" s="92"/>
      <c r="C644" s="92"/>
      <c r="D644" s="190"/>
      <c r="F644" s="91"/>
      <c r="G644" s="93"/>
      <c r="L644" s="92"/>
      <c r="R644" s="94"/>
    </row>
    <row r="645" spans="1:18" s="7" customFormat="1" ht="55.5" x14ac:dyDescent="0.75">
      <c r="A645" s="91"/>
      <c r="B645" s="92"/>
      <c r="C645" s="92"/>
      <c r="D645" s="190"/>
      <c r="F645" s="91"/>
      <c r="G645" s="93"/>
      <c r="L645" s="92"/>
      <c r="R645" s="94"/>
    </row>
    <row r="646" spans="1:18" s="7" customFormat="1" ht="55.5" x14ac:dyDescent="0.75">
      <c r="A646" s="91"/>
      <c r="B646" s="92"/>
      <c r="C646" s="92"/>
      <c r="D646" s="190"/>
      <c r="F646" s="91"/>
      <c r="G646" s="93"/>
      <c r="L646" s="92"/>
      <c r="R646" s="94"/>
    </row>
    <row r="647" spans="1:18" s="7" customFormat="1" ht="55.5" x14ac:dyDescent="0.75">
      <c r="A647" s="91"/>
      <c r="B647" s="92"/>
      <c r="C647" s="92"/>
      <c r="D647" s="190"/>
      <c r="F647" s="91"/>
      <c r="G647" s="93"/>
      <c r="L647" s="92"/>
      <c r="R647" s="94"/>
    </row>
    <row r="648" spans="1:18" s="7" customFormat="1" ht="55.5" x14ac:dyDescent="0.75">
      <c r="A648" s="91"/>
      <c r="B648" s="92"/>
      <c r="C648" s="92"/>
      <c r="D648" s="190"/>
      <c r="F648" s="91"/>
      <c r="G648" s="93"/>
      <c r="L648" s="92"/>
      <c r="R648" s="94"/>
    </row>
    <row r="649" spans="1:18" s="7" customFormat="1" ht="55.5" x14ac:dyDescent="0.75">
      <c r="A649" s="91"/>
      <c r="B649" s="92"/>
      <c r="C649" s="92"/>
      <c r="D649" s="190"/>
      <c r="F649" s="91"/>
      <c r="G649" s="93"/>
      <c r="L649" s="92"/>
      <c r="R649" s="94"/>
    </row>
    <row r="650" spans="1:18" s="7" customFormat="1" ht="55.5" x14ac:dyDescent="0.75">
      <c r="A650" s="91"/>
      <c r="B650" s="92"/>
      <c r="C650" s="92"/>
      <c r="D650" s="190"/>
      <c r="F650" s="91"/>
      <c r="G650" s="93"/>
      <c r="L650" s="92"/>
      <c r="R650" s="94"/>
    </row>
    <row r="651" spans="1:18" s="7" customFormat="1" ht="55.5" x14ac:dyDescent="0.75">
      <c r="A651" s="91"/>
      <c r="B651" s="92"/>
      <c r="C651" s="92"/>
      <c r="D651" s="190"/>
      <c r="F651" s="91"/>
      <c r="G651" s="93"/>
      <c r="L651" s="92"/>
      <c r="R651" s="94"/>
    </row>
    <row r="652" spans="1:18" s="7" customFormat="1" ht="55.5" x14ac:dyDescent="0.75">
      <c r="A652" s="91"/>
      <c r="B652" s="92"/>
      <c r="C652" s="92"/>
      <c r="D652" s="190"/>
      <c r="F652" s="91"/>
      <c r="G652" s="93"/>
      <c r="L652" s="92"/>
      <c r="R652" s="94"/>
    </row>
    <row r="653" spans="1:18" s="7" customFormat="1" ht="55.5" x14ac:dyDescent="0.75">
      <c r="A653" s="91"/>
      <c r="B653" s="92"/>
      <c r="C653" s="92"/>
      <c r="D653" s="190"/>
      <c r="F653" s="91"/>
      <c r="G653" s="93"/>
      <c r="L653" s="92"/>
      <c r="R653" s="94"/>
    </row>
    <row r="654" spans="1:18" s="7" customFormat="1" ht="55.5" x14ac:dyDescent="0.75">
      <c r="A654" s="91"/>
      <c r="B654" s="92"/>
      <c r="C654" s="92"/>
      <c r="D654" s="190"/>
      <c r="F654" s="91"/>
      <c r="G654" s="93"/>
      <c r="L654" s="92"/>
      <c r="R654" s="94"/>
    </row>
    <row r="655" spans="1:18" s="7" customFormat="1" ht="55.5" x14ac:dyDescent="0.75">
      <c r="A655" s="91"/>
      <c r="B655" s="92"/>
      <c r="C655" s="92"/>
      <c r="D655" s="190"/>
      <c r="F655" s="91"/>
      <c r="G655" s="93"/>
      <c r="L655" s="92"/>
      <c r="R655" s="94"/>
    </row>
    <row r="656" spans="1:18" s="7" customFormat="1" ht="55.5" x14ac:dyDescent="0.75">
      <c r="A656" s="91"/>
      <c r="B656" s="92"/>
      <c r="C656" s="92"/>
      <c r="D656" s="190"/>
      <c r="F656" s="91"/>
      <c r="G656" s="93"/>
      <c r="L656" s="92"/>
      <c r="R656" s="94"/>
    </row>
    <row r="657" spans="1:18" s="7" customFormat="1" ht="55.5" x14ac:dyDescent="0.75">
      <c r="A657" s="91"/>
      <c r="B657" s="92"/>
      <c r="C657" s="92"/>
      <c r="D657" s="190"/>
      <c r="F657" s="91"/>
      <c r="G657" s="93"/>
      <c r="L657" s="92"/>
      <c r="R657" s="94"/>
    </row>
    <row r="658" spans="1:18" s="7" customFormat="1" ht="55.5" x14ac:dyDescent="0.75">
      <c r="A658" s="91"/>
      <c r="B658" s="92"/>
      <c r="C658" s="92"/>
      <c r="D658" s="190"/>
      <c r="F658" s="91"/>
      <c r="G658" s="93"/>
      <c r="L658" s="92"/>
      <c r="R658" s="94"/>
    </row>
    <row r="659" spans="1:18" s="7" customFormat="1" ht="55.5" x14ac:dyDescent="0.75">
      <c r="A659" s="91"/>
      <c r="B659" s="92"/>
      <c r="C659" s="92"/>
      <c r="D659" s="190"/>
      <c r="F659" s="91"/>
      <c r="G659" s="93"/>
      <c r="L659" s="92"/>
      <c r="R659" s="94"/>
    </row>
    <row r="660" spans="1:18" s="7" customFormat="1" ht="55.5" x14ac:dyDescent="0.75">
      <c r="A660" s="91"/>
      <c r="B660" s="92"/>
      <c r="C660" s="92"/>
      <c r="D660" s="190"/>
      <c r="F660" s="91"/>
      <c r="G660" s="93"/>
      <c r="L660" s="92"/>
      <c r="R660" s="94"/>
    </row>
    <row r="661" spans="1:18" s="7" customFormat="1" ht="55.5" x14ac:dyDescent="0.75">
      <c r="A661" s="91"/>
      <c r="B661" s="92"/>
      <c r="C661" s="92"/>
      <c r="D661" s="190"/>
      <c r="F661" s="91"/>
      <c r="G661" s="93"/>
      <c r="L661" s="92"/>
      <c r="R661" s="94"/>
    </row>
    <row r="662" spans="1:18" s="7" customFormat="1" ht="55.5" x14ac:dyDescent="0.75">
      <c r="A662" s="91"/>
      <c r="B662" s="92"/>
      <c r="C662" s="92"/>
      <c r="D662" s="190"/>
      <c r="F662" s="91"/>
      <c r="G662" s="93"/>
      <c r="L662" s="92"/>
      <c r="R662" s="94"/>
    </row>
    <row r="663" spans="1:18" s="7" customFormat="1" ht="55.5" x14ac:dyDescent="0.75">
      <c r="A663" s="91"/>
      <c r="B663" s="92"/>
      <c r="C663" s="92"/>
      <c r="D663" s="190"/>
      <c r="F663" s="91"/>
      <c r="G663" s="93"/>
      <c r="L663" s="92"/>
      <c r="R663" s="94"/>
    </row>
    <row r="664" spans="1:18" s="7" customFormat="1" ht="55.5" x14ac:dyDescent="0.75">
      <c r="A664" s="91"/>
      <c r="B664" s="92"/>
      <c r="C664" s="92"/>
      <c r="D664" s="190"/>
      <c r="F664" s="91"/>
      <c r="G664" s="93"/>
      <c r="L664" s="92"/>
      <c r="R664" s="94"/>
    </row>
    <row r="665" spans="1:18" s="7" customFormat="1" ht="55.5" x14ac:dyDescent="0.75">
      <c r="A665" s="91"/>
      <c r="B665" s="92"/>
      <c r="C665" s="92"/>
      <c r="D665" s="190"/>
      <c r="F665" s="91"/>
      <c r="G665" s="93"/>
      <c r="L665" s="92"/>
      <c r="R665" s="94"/>
    </row>
    <row r="666" spans="1:18" s="7" customFormat="1" ht="55.5" x14ac:dyDescent="0.75">
      <c r="A666" s="91"/>
      <c r="B666" s="92"/>
      <c r="C666" s="92"/>
      <c r="D666" s="190"/>
      <c r="F666" s="91"/>
      <c r="G666" s="93"/>
      <c r="L666" s="92"/>
      <c r="R666" s="94"/>
    </row>
    <row r="667" spans="1:18" s="7" customFormat="1" ht="55.5" x14ac:dyDescent="0.75">
      <c r="A667" s="91"/>
      <c r="B667" s="92"/>
      <c r="C667" s="92"/>
      <c r="D667" s="190"/>
      <c r="F667" s="91"/>
      <c r="G667" s="93"/>
      <c r="L667" s="92"/>
      <c r="R667" s="94"/>
    </row>
    <row r="668" spans="1:18" s="7" customFormat="1" ht="55.5" x14ac:dyDescent="0.75">
      <c r="A668" s="91"/>
      <c r="B668" s="92"/>
      <c r="C668" s="92"/>
      <c r="D668" s="190"/>
      <c r="F668" s="91"/>
      <c r="G668" s="93"/>
      <c r="L668" s="92"/>
      <c r="R668" s="94"/>
    </row>
    <row r="669" spans="1:18" s="7" customFormat="1" ht="55.5" x14ac:dyDescent="0.75">
      <c r="A669" s="91"/>
      <c r="B669" s="92"/>
      <c r="C669" s="92"/>
      <c r="D669" s="190"/>
      <c r="F669" s="91"/>
      <c r="G669" s="93"/>
      <c r="L669" s="92"/>
      <c r="R669" s="94"/>
    </row>
    <row r="670" spans="1:18" s="7" customFormat="1" ht="55.5" x14ac:dyDescent="0.75">
      <c r="A670" s="91"/>
      <c r="B670" s="92"/>
      <c r="C670" s="92"/>
      <c r="D670" s="190"/>
      <c r="F670" s="91"/>
      <c r="G670" s="93"/>
      <c r="L670" s="92"/>
      <c r="R670" s="94"/>
    </row>
    <row r="671" spans="1:18" s="7" customFormat="1" ht="55.5" x14ac:dyDescent="0.75">
      <c r="A671" s="91"/>
      <c r="B671" s="92"/>
      <c r="C671" s="92"/>
      <c r="D671" s="190"/>
      <c r="F671" s="91"/>
      <c r="G671" s="93"/>
      <c r="L671" s="92"/>
      <c r="R671" s="94"/>
    </row>
    <row r="672" spans="1:18" s="7" customFormat="1" ht="55.5" x14ac:dyDescent="0.75">
      <c r="A672" s="91"/>
      <c r="B672" s="92"/>
      <c r="C672" s="92"/>
      <c r="D672" s="190"/>
      <c r="F672" s="91"/>
      <c r="G672" s="93"/>
      <c r="L672" s="92"/>
      <c r="R672" s="94"/>
    </row>
    <row r="673" spans="1:18" s="7" customFormat="1" ht="55.5" x14ac:dyDescent="0.75">
      <c r="A673" s="91"/>
      <c r="B673" s="92"/>
      <c r="C673" s="92"/>
      <c r="D673" s="190"/>
      <c r="F673" s="91"/>
      <c r="G673" s="93"/>
      <c r="L673" s="92"/>
      <c r="R673" s="94"/>
    </row>
    <row r="674" spans="1:18" s="7" customFormat="1" ht="55.5" x14ac:dyDescent="0.75">
      <c r="A674" s="91"/>
      <c r="B674" s="92"/>
      <c r="C674" s="92"/>
      <c r="D674" s="190"/>
      <c r="F674" s="91"/>
      <c r="G674" s="93"/>
      <c r="L674" s="92"/>
      <c r="R674" s="94"/>
    </row>
    <row r="675" spans="1:18" s="7" customFormat="1" ht="55.5" x14ac:dyDescent="0.75">
      <c r="A675" s="91"/>
      <c r="B675" s="92"/>
      <c r="C675" s="92"/>
      <c r="D675" s="190"/>
      <c r="F675" s="91"/>
      <c r="G675" s="93"/>
      <c r="L675" s="92"/>
      <c r="R675" s="94"/>
    </row>
    <row r="676" spans="1:18" s="7" customFormat="1" ht="55.5" x14ac:dyDescent="0.75">
      <c r="A676" s="91"/>
      <c r="B676" s="92"/>
      <c r="C676" s="92"/>
      <c r="D676" s="190"/>
      <c r="F676" s="91"/>
      <c r="G676" s="93"/>
      <c r="L676" s="92"/>
      <c r="R676" s="94"/>
    </row>
    <row r="677" spans="1:18" s="7" customFormat="1" ht="55.5" x14ac:dyDescent="0.75">
      <c r="A677" s="91"/>
      <c r="B677" s="92"/>
      <c r="C677" s="92"/>
      <c r="D677" s="190"/>
      <c r="F677" s="91"/>
      <c r="G677" s="93"/>
      <c r="L677" s="92"/>
      <c r="R677" s="94"/>
    </row>
    <row r="678" spans="1:18" s="7" customFormat="1" ht="55.5" x14ac:dyDescent="0.75">
      <c r="A678" s="91"/>
      <c r="B678" s="92"/>
      <c r="C678" s="92"/>
      <c r="D678" s="190"/>
      <c r="F678" s="91"/>
      <c r="G678" s="93"/>
      <c r="L678" s="92"/>
      <c r="R678" s="94"/>
    </row>
    <row r="679" spans="1:18" s="7" customFormat="1" ht="55.5" x14ac:dyDescent="0.75">
      <c r="A679" s="91"/>
      <c r="B679" s="92"/>
      <c r="C679" s="92"/>
      <c r="D679" s="190"/>
      <c r="F679" s="91"/>
      <c r="G679" s="93"/>
      <c r="L679" s="92"/>
      <c r="R679" s="94"/>
    </row>
    <row r="680" spans="1:18" s="7" customFormat="1" ht="55.5" x14ac:dyDescent="0.75">
      <c r="A680" s="91"/>
      <c r="B680" s="92"/>
      <c r="C680" s="92"/>
      <c r="D680" s="190"/>
      <c r="F680" s="91"/>
      <c r="G680" s="93"/>
      <c r="L680" s="92"/>
      <c r="R680" s="94"/>
    </row>
    <row r="681" spans="1:18" s="7" customFormat="1" ht="55.5" x14ac:dyDescent="0.75">
      <c r="A681" s="91"/>
      <c r="B681" s="92"/>
      <c r="C681" s="92"/>
      <c r="D681" s="190"/>
      <c r="F681" s="91"/>
      <c r="G681" s="93"/>
      <c r="L681" s="92"/>
      <c r="R681" s="94"/>
    </row>
    <row r="682" spans="1:18" s="7" customFormat="1" ht="55.5" x14ac:dyDescent="0.75">
      <c r="A682" s="91"/>
      <c r="B682" s="92"/>
      <c r="C682" s="92"/>
      <c r="D682" s="190"/>
      <c r="F682" s="91"/>
      <c r="G682" s="93"/>
      <c r="L682" s="92"/>
      <c r="R682" s="94"/>
    </row>
    <row r="683" spans="1:18" s="7" customFormat="1" ht="55.5" x14ac:dyDescent="0.75">
      <c r="A683" s="91"/>
      <c r="B683" s="92"/>
      <c r="C683" s="92"/>
      <c r="D683" s="190"/>
      <c r="F683" s="91"/>
      <c r="G683" s="93"/>
      <c r="L683" s="92"/>
      <c r="R683" s="94"/>
    </row>
    <row r="684" spans="1:18" s="7" customFormat="1" ht="55.5" x14ac:dyDescent="0.75">
      <c r="A684" s="91"/>
      <c r="B684" s="92"/>
      <c r="C684" s="92"/>
      <c r="D684" s="190"/>
      <c r="F684" s="91"/>
      <c r="G684" s="93"/>
      <c r="L684" s="92"/>
      <c r="R684" s="94"/>
    </row>
    <row r="685" spans="1:18" s="7" customFormat="1" ht="55.5" x14ac:dyDescent="0.75">
      <c r="A685" s="91"/>
      <c r="B685" s="92"/>
      <c r="C685" s="92"/>
      <c r="D685" s="190"/>
      <c r="F685" s="91"/>
      <c r="G685" s="93"/>
      <c r="L685" s="92"/>
      <c r="R685" s="94"/>
    </row>
    <row r="686" spans="1:18" s="7" customFormat="1" ht="55.5" x14ac:dyDescent="0.75">
      <c r="A686" s="91"/>
      <c r="B686" s="92"/>
      <c r="C686" s="92"/>
      <c r="D686" s="190"/>
      <c r="F686" s="91"/>
      <c r="G686" s="93"/>
      <c r="L686" s="92"/>
      <c r="R686" s="94"/>
    </row>
    <row r="687" spans="1:18" s="7" customFormat="1" ht="55.5" x14ac:dyDescent="0.75">
      <c r="A687" s="91"/>
      <c r="B687" s="92"/>
      <c r="C687" s="92"/>
      <c r="D687" s="190"/>
      <c r="F687" s="91"/>
      <c r="G687" s="93"/>
      <c r="L687" s="92"/>
      <c r="R687" s="94"/>
    </row>
    <row r="688" spans="1:18" s="7" customFormat="1" ht="55.5" x14ac:dyDescent="0.75">
      <c r="A688" s="91"/>
      <c r="B688" s="92"/>
      <c r="C688" s="92"/>
      <c r="D688" s="190"/>
      <c r="F688" s="91"/>
      <c r="G688" s="93"/>
      <c r="L688" s="92"/>
      <c r="R688" s="94"/>
    </row>
    <row r="689" spans="1:18" s="7" customFormat="1" ht="55.5" x14ac:dyDescent="0.75">
      <c r="A689" s="91"/>
      <c r="B689" s="92"/>
      <c r="C689" s="92"/>
      <c r="D689" s="190"/>
      <c r="F689" s="91"/>
      <c r="G689" s="93"/>
      <c r="L689" s="92"/>
      <c r="R689" s="94"/>
    </row>
    <row r="690" spans="1:18" s="7" customFormat="1" ht="55.5" x14ac:dyDescent="0.75">
      <c r="A690" s="91"/>
      <c r="B690" s="92"/>
      <c r="C690" s="92"/>
      <c r="D690" s="190"/>
      <c r="F690" s="91"/>
      <c r="G690" s="93"/>
      <c r="L690" s="92"/>
      <c r="R690" s="94"/>
    </row>
    <row r="691" spans="1:18" s="7" customFormat="1" ht="55.5" x14ac:dyDescent="0.75">
      <c r="A691" s="91"/>
      <c r="B691" s="92"/>
      <c r="C691" s="92"/>
      <c r="D691" s="190"/>
      <c r="F691" s="91"/>
      <c r="G691" s="93"/>
      <c r="L691" s="92"/>
      <c r="R691" s="94"/>
    </row>
    <row r="692" spans="1:18" s="7" customFormat="1" ht="55.5" x14ac:dyDescent="0.75">
      <c r="A692" s="91"/>
      <c r="B692" s="92"/>
      <c r="C692" s="92"/>
      <c r="D692" s="190"/>
      <c r="F692" s="91"/>
      <c r="G692" s="93"/>
      <c r="L692" s="92"/>
      <c r="R692" s="94"/>
    </row>
    <row r="693" spans="1:18" s="7" customFormat="1" ht="55.5" x14ac:dyDescent="0.75">
      <c r="A693" s="91"/>
      <c r="B693" s="92"/>
      <c r="C693" s="92"/>
      <c r="D693" s="190"/>
      <c r="F693" s="91"/>
      <c r="G693" s="93"/>
      <c r="L693" s="92"/>
      <c r="R693" s="94"/>
    </row>
    <row r="694" spans="1:18" s="7" customFormat="1" ht="55.5" x14ac:dyDescent="0.75">
      <c r="A694" s="91"/>
      <c r="B694" s="92"/>
      <c r="C694" s="92"/>
      <c r="D694" s="190"/>
      <c r="F694" s="91"/>
      <c r="G694" s="93"/>
      <c r="L694" s="92"/>
      <c r="R694" s="94"/>
    </row>
    <row r="695" spans="1:18" s="7" customFormat="1" ht="55.5" x14ac:dyDescent="0.75">
      <c r="A695" s="91"/>
      <c r="B695" s="92"/>
      <c r="C695" s="92"/>
      <c r="D695" s="190"/>
      <c r="F695" s="91"/>
      <c r="G695" s="93"/>
      <c r="L695" s="92"/>
      <c r="R695" s="94"/>
    </row>
    <row r="696" spans="1:18" s="7" customFormat="1" ht="55.5" x14ac:dyDescent="0.75">
      <c r="A696" s="91"/>
      <c r="B696" s="92"/>
      <c r="C696" s="92"/>
      <c r="D696" s="190"/>
      <c r="F696" s="91"/>
      <c r="G696" s="93"/>
      <c r="L696" s="92"/>
      <c r="R696" s="94"/>
    </row>
    <row r="697" spans="1:18" s="7" customFormat="1" ht="55.5" x14ac:dyDescent="0.75">
      <c r="A697" s="91"/>
      <c r="B697" s="92"/>
      <c r="C697" s="92"/>
      <c r="D697" s="190"/>
      <c r="F697" s="91"/>
      <c r="G697" s="93"/>
      <c r="L697" s="92"/>
      <c r="R697" s="94"/>
    </row>
    <row r="698" spans="1:18" s="7" customFormat="1" ht="55.5" x14ac:dyDescent="0.75">
      <c r="A698" s="91"/>
      <c r="B698" s="92"/>
      <c r="C698" s="92"/>
      <c r="D698" s="190"/>
      <c r="F698" s="91"/>
      <c r="G698" s="93"/>
      <c r="L698" s="92"/>
      <c r="R698" s="94"/>
    </row>
    <row r="699" spans="1:18" s="7" customFormat="1" ht="55.5" x14ac:dyDescent="0.75">
      <c r="A699" s="91"/>
      <c r="B699" s="92"/>
      <c r="C699" s="92"/>
      <c r="D699" s="190"/>
      <c r="F699" s="91"/>
      <c r="G699" s="93"/>
      <c r="L699" s="92"/>
      <c r="R699" s="94"/>
    </row>
    <row r="700" spans="1:18" s="7" customFormat="1" ht="55.5" x14ac:dyDescent="0.75">
      <c r="A700" s="91"/>
      <c r="B700" s="92"/>
      <c r="C700" s="92"/>
      <c r="D700" s="190"/>
      <c r="F700" s="91"/>
      <c r="G700" s="93"/>
      <c r="L700" s="92"/>
      <c r="R700" s="94"/>
    </row>
    <row r="701" spans="1:18" s="7" customFormat="1" ht="55.5" x14ac:dyDescent="0.75">
      <c r="A701" s="91"/>
      <c r="B701" s="92"/>
      <c r="C701" s="92"/>
      <c r="D701" s="190"/>
      <c r="F701" s="91"/>
      <c r="G701" s="93"/>
      <c r="L701" s="92"/>
      <c r="R701" s="94"/>
    </row>
    <row r="702" spans="1:18" s="7" customFormat="1" ht="55.5" x14ac:dyDescent="0.75">
      <c r="A702" s="91"/>
      <c r="B702" s="92"/>
      <c r="C702" s="92"/>
      <c r="D702" s="190"/>
      <c r="F702" s="91"/>
      <c r="G702" s="93"/>
      <c r="L702" s="92"/>
      <c r="R702" s="94"/>
    </row>
    <row r="703" spans="1:18" s="7" customFormat="1" ht="55.5" x14ac:dyDescent="0.75">
      <c r="A703" s="91"/>
      <c r="B703" s="92"/>
      <c r="C703" s="92"/>
      <c r="D703" s="190"/>
      <c r="F703" s="91"/>
      <c r="G703" s="93"/>
      <c r="L703" s="92"/>
      <c r="R703" s="94"/>
    </row>
    <row r="704" spans="1:18" s="7" customFormat="1" ht="55.5" x14ac:dyDescent="0.75">
      <c r="A704" s="91"/>
      <c r="B704" s="92"/>
      <c r="C704" s="92"/>
      <c r="D704" s="190"/>
      <c r="F704" s="91"/>
      <c r="G704" s="93"/>
      <c r="L704" s="92"/>
      <c r="R704" s="94"/>
    </row>
    <row r="705" spans="1:18" s="7" customFormat="1" ht="55.5" x14ac:dyDescent="0.75">
      <c r="A705" s="91"/>
      <c r="B705" s="92"/>
      <c r="C705" s="92"/>
      <c r="D705" s="190"/>
      <c r="F705" s="91"/>
      <c r="G705" s="93"/>
      <c r="L705" s="92"/>
      <c r="R705" s="94"/>
    </row>
    <row r="706" spans="1:18" s="7" customFormat="1" ht="55.5" x14ac:dyDescent="0.75">
      <c r="A706" s="91"/>
      <c r="B706" s="92"/>
      <c r="C706" s="92"/>
      <c r="D706" s="190"/>
      <c r="F706" s="91"/>
      <c r="G706" s="93"/>
      <c r="L706" s="92"/>
      <c r="R706" s="94"/>
    </row>
    <row r="707" spans="1:18" s="7" customFormat="1" ht="55.5" x14ac:dyDescent="0.75">
      <c r="A707" s="91"/>
      <c r="B707" s="92"/>
      <c r="C707" s="92"/>
      <c r="D707" s="190"/>
      <c r="F707" s="91"/>
      <c r="G707" s="93"/>
      <c r="L707" s="92"/>
      <c r="R707" s="94"/>
    </row>
    <row r="708" spans="1:18" s="7" customFormat="1" ht="55.5" x14ac:dyDescent="0.75">
      <c r="A708" s="91"/>
      <c r="B708" s="92"/>
      <c r="C708" s="92"/>
      <c r="D708" s="190"/>
      <c r="F708" s="91"/>
      <c r="G708" s="93"/>
      <c r="L708" s="92"/>
      <c r="R708" s="94"/>
    </row>
    <row r="709" spans="1:18" s="7" customFormat="1" ht="55.5" x14ac:dyDescent="0.75">
      <c r="A709" s="91"/>
      <c r="B709" s="92"/>
      <c r="C709" s="92"/>
      <c r="D709" s="190"/>
      <c r="F709" s="91"/>
      <c r="G709" s="93"/>
      <c r="L709" s="92"/>
      <c r="R709" s="94"/>
    </row>
    <row r="710" spans="1:18" s="7" customFormat="1" ht="55.5" x14ac:dyDescent="0.75">
      <c r="A710" s="91"/>
      <c r="B710" s="92"/>
      <c r="C710" s="92"/>
      <c r="D710" s="190"/>
      <c r="F710" s="91"/>
      <c r="G710" s="93"/>
      <c r="L710" s="92"/>
      <c r="R710" s="94"/>
    </row>
    <row r="711" spans="1:18" s="7" customFormat="1" ht="55.5" x14ac:dyDescent="0.75">
      <c r="A711" s="91"/>
      <c r="B711" s="92"/>
      <c r="C711" s="92"/>
      <c r="D711" s="190"/>
      <c r="F711" s="91"/>
      <c r="G711" s="93"/>
      <c r="L711" s="92"/>
      <c r="R711" s="94"/>
    </row>
    <row r="712" spans="1:18" s="7" customFormat="1" ht="55.5" x14ac:dyDescent="0.75">
      <c r="A712" s="91"/>
      <c r="B712" s="92"/>
      <c r="C712" s="92"/>
      <c r="D712" s="190"/>
      <c r="F712" s="91"/>
      <c r="G712" s="93"/>
      <c r="L712" s="92"/>
      <c r="R712" s="94"/>
    </row>
    <row r="713" spans="1:18" s="7" customFormat="1" ht="55.5" x14ac:dyDescent="0.75">
      <c r="A713" s="91"/>
      <c r="B713" s="92"/>
      <c r="C713" s="92"/>
      <c r="D713" s="190"/>
      <c r="F713" s="91"/>
      <c r="G713" s="93"/>
      <c r="L713" s="92"/>
      <c r="R713" s="94"/>
    </row>
    <row r="714" spans="1:18" s="7" customFormat="1" ht="55.5" x14ac:dyDescent="0.75">
      <c r="A714" s="91"/>
      <c r="B714" s="92"/>
      <c r="C714" s="92"/>
      <c r="D714" s="190"/>
      <c r="F714" s="91"/>
      <c r="G714" s="93"/>
      <c r="L714" s="92"/>
      <c r="R714" s="94"/>
    </row>
    <row r="715" spans="1:18" s="7" customFormat="1" ht="55.5" x14ac:dyDescent="0.75">
      <c r="A715" s="91"/>
      <c r="B715" s="92"/>
      <c r="C715" s="92"/>
      <c r="D715" s="190"/>
      <c r="F715" s="91"/>
      <c r="G715" s="93"/>
      <c r="L715" s="92"/>
      <c r="R715" s="94"/>
    </row>
    <row r="716" spans="1:18" s="7" customFormat="1" ht="55.5" x14ac:dyDescent="0.75">
      <c r="A716" s="91"/>
      <c r="B716" s="92"/>
      <c r="C716" s="92"/>
      <c r="D716" s="190"/>
      <c r="F716" s="91"/>
      <c r="G716" s="93"/>
      <c r="L716" s="92"/>
      <c r="R716" s="94"/>
    </row>
    <row r="717" spans="1:18" s="7" customFormat="1" ht="55.5" x14ac:dyDescent="0.75">
      <c r="A717" s="91"/>
      <c r="B717" s="92"/>
      <c r="C717" s="92"/>
      <c r="D717" s="190"/>
      <c r="F717" s="91"/>
      <c r="G717" s="93"/>
      <c r="L717" s="92"/>
      <c r="R717" s="94"/>
    </row>
    <row r="718" spans="1:18" s="7" customFormat="1" ht="55.5" x14ac:dyDescent="0.75">
      <c r="A718" s="91"/>
      <c r="B718" s="92"/>
      <c r="C718" s="92"/>
      <c r="D718" s="190"/>
      <c r="F718" s="91"/>
      <c r="G718" s="93"/>
      <c r="L718" s="92"/>
      <c r="R718" s="94"/>
    </row>
    <row r="719" spans="1:18" s="7" customFormat="1" ht="55.5" x14ac:dyDescent="0.75">
      <c r="A719" s="91"/>
      <c r="B719" s="92"/>
      <c r="C719" s="92"/>
      <c r="D719" s="190"/>
      <c r="F719" s="91"/>
      <c r="G719" s="93"/>
      <c r="L719" s="92"/>
      <c r="R719" s="94"/>
    </row>
    <row r="720" spans="1:18" s="7" customFormat="1" ht="55.5" x14ac:dyDescent="0.75">
      <c r="A720" s="91"/>
      <c r="B720" s="92"/>
      <c r="C720" s="92"/>
      <c r="D720" s="190"/>
      <c r="F720" s="91"/>
      <c r="G720" s="93"/>
      <c r="L720" s="92"/>
      <c r="R720" s="94"/>
    </row>
    <row r="721" spans="1:18" s="7" customFormat="1" ht="55.5" x14ac:dyDescent="0.75">
      <c r="A721" s="91"/>
      <c r="B721" s="92"/>
      <c r="C721" s="92"/>
      <c r="D721" s="190"/>
      <c r="F721" s="91"/>
      <c r="G721" s="93"/>
      <c r="L721" s="92"/>
      <c r="R721" s="94"/>
    </row>
    <row r="722" spans="1:18" s="7" customFormat="1" ht="55.5" x14ac:dyDescent="0.75">
      <c r="A722" s="91"/>
      <c r="B722" s="92"/>
      <c r="C722" s="92"/>
      <c r="D722" s="190"/>
      <c r="F722" s="91"/>
      <c r="G722" s="93"/>
      <c r="L722" s="92"/>
      <c r="R722" s="94"/>
    </row>
    <row r="723" spans="1:18" s="7" customFormat="1" ht="55.5" x14ac:dyDescent="0.75">
      <c r="A723" s="91"/>
      <c r="B723" s="92"/>
      <c r="C723" s="92"/>
      <c r="D723" s="190"/>
      <c r="F723" s="91"/>
      <c r="G723" s="93"/>
      <c r="L723" s="92"/>
      <c r="R723" s="94"/>
    </row>
    <row r="724" spans="1:18" s="7" customFormat="1" ht="55.5" x14ac:dyDescent="0.75">
      <c r="A724" s="91"/>
      <c r="B724" s="92"/>
      <c r="C724" s="92"/>
      <c r="D724" s="190"/>
      <c r="F724" s="91"/>
      <c r="G724" s="93"/>
      <c r="L724" s="92"/>
      <c r="R724" s="94"/>
    </row>
    <row r="725" spans="1:18" s="7" customFormat="1" ht="55.5" x14ac:dyDescent="0.75">
      <c r="A725" s="91"/>
      <c r="B725" s="92"/>
      <c r="C725" s="92"/>
      <c r="D725" s="190"/>
      <c r="F725" s="91"/>
      <c r="G725" s="93"/>
      <c r="L725" s="92"/>
      <c r="R725" s="94"/>
    </row>
    <row r="726" spans="1:18" s="7" customFormat="1" ht="55.5" x14ac:dyDescent="0.75">
      <c r="A726" s="91"/>
      <c r="B726" s="92"/>
      <c r="C726" s="92"/>
      <c r="D726" s="190"/>
      <c r="F726" s="91"/>
      <c r="G726" s="93"/>
      <c r="L726" s="92"/>
      <c r="R726" s="94"/>
    </row>
    <row r="727" spans="1:18" s="7" customFormat="1" ht="55.5" x14ac:dyDescent="0.75">
      <c r="A727" s="91"/>
      <c r="B727" s="92"/>
      <c r="C727" s="92"/>
      <c r="D727" s="190"/>
      <c r="F727" s="91"/>
      <c r="G727" s="93"/>
      <c r="L727" s="92"/>
      <c r="R727" s="94"/>
    </row>
    <row r="728" spans="1:18" s="7" customFormat="1" ht="55.5" x14ac:dyDescent="0.75">
      <c r="A728" s="91"/>
      <c r="B728" s="92"/>
      <c r="C728" s="92"/>
      <c r="D728" s="190"/>
      <c r="F728" s="91"/>
      <c r="G728" s="93"/>
      <c r="L728" s="92"/>
      <c r="R728" s="94"/>
    </row>
    <row r="729" spans="1:18" s="7" customFormat="1" ht="55.5" x14ac:dyDescent="0.75">
      <c r="A729" s="91"/>
      <c r="B729" s="92"/>
      <c r="C729" s="92"/>
      <c r="D729" s="190"/>
      <c r="F729" s="91"/>
      <c r="G729" s="93"/>
      <c r="L729" s="92"/>
      <c r="R729" s="94"/>
    </row>
    <row r="730" spans="1:18" s="7" customFormat="1" ht="55.5" x14ac:dyDescent="0.75">
      <c r="A730" s="91"/>
      <c r="B730" s="92"/>
      <c r="C730" s="92"/>
      <c r="D730" s="190"/>
      <c r="F730" s="91"/>
      <c r="G730" s="93"/>
      <c r="L730" s="92"/>
      <c r="R730" s="94"/>
    </row>
    <row r="731" spans="1:18" s="7" customFormat="1" ht="55.5" x14ac:dyDescent="0.75">
      <c r="A731" s="91"/>
      <c r="B731" s="92"/>
      <c r="C731" s="92"/>
      <c r="D731" s="190"/>
      <c r="F731" s="91"/>
      <c r="G731" s="93"/>
      <c r="L731" s="92"/>
      <c r="R731" s="94"/>
    </row>
    <row r="732" spans="1:18" s="7" customFormat="1" ht="55.5" x14ac:dyDescent="0.75">
      <c r="A732" s="91"/>
      <c r="B732" s="92"/>
      <c r="C732" s="92"/>
      <c r="D732" s="190"/>
      <c r="F732" s="91"/>
      <c r="G732" s="93"/>
      <c r="L732" s="92"/>
      <c r="R732" s="94"/>
    </row>
    <row r="733" spans="1:18" s="7" customFormat="1" ht="55.5" x14ac:dyDescent="0.75">
      <c r="A733" s="91"/>
      <c r="B733" s="92"/>
      <c r="C733" s="92"/>
      <c r="D733" s="190"/>
      <c r="F733" s="91"/>
      <c r="G733" s="93"/>
      <c r="L733" s="92"/>
      <c r="R733" s="94"/>
    </row>
    <row r="734" spans="1:18" s="7" customFormat="1" ht="55.5" x14ac:dyDescent="0.75">
      <c r="A734" s="91"/>
      <c r="B734" s="92"/>
      <c r="C734" s="92"/>
      <c r="D734" s="190"/>
      <c r="F734" s="91"/>
      <c r="G734" s="93"/>
      <c r="L734" s="92"/>
      <c r="R734" s="94"/>
    </row>
    <row r="735" spans="1:18" s="7" customFormat="1" ht="55.5" x14ac:dyDescent="0.75">
      <c r="A735" s="91"/>
      <c r="B735" s="92"/>
      <c r="C735" s="92"/>
      <c r="D735" s="190"/>
      <c r="F735" s="91"/>
      <c r="G735" s="93"/>
      <c r="L735" s="92"/>
      <c r="R735" s="94"/>
    </row>
    <row r="736" spans="1:18" s="7" customFormat="1" ht="55.5" x14ac:dyDescent="0.75">
      <c r="A736" s="91"/>
      <c r="B736" s="92"/>
      <c r="C736" s="92"/>
      <c r="D736" s="190"/>
      <c r="F736" s="91"/>
      <c r="G736" s="93"/>
      <c r="L736" s="92"/>
      <c r="R736" s="94"/>
    </row>
    <row r="737" spans="1:18" s="7" customFormat="1" ht="55.5" x14ac:dyDescent="0.75">
      <c r="A737" s="91"/>
      <c r="B737" s="92"/>
      <c r="C737" s="92"/>
      <c r="D737" s="190"/>
      <c r="F737" s="91"/>
      <c r="G737" s="93"/>
      <c r="L737" s="92"/>
      <c r="R737" s="94"/>
    </row>
    <row r="738" spans="1:18" s="7" customFormat="1" ht="55.5" x14ac:dyDescent="0.75">
      <c r="A738" s="91"/>
      <c r="B738" s="92"/>
      <c r="C738" s="92"/>
      <c r="D738" s="190"/>
      <c r="F738" s="91"/>
      <c r="G738" s="93"/>
      <c r="L738" s="92"/>
      <c r="R738" s="94"/>
    </row>
    <row r="739" spans="1:18" s="7" customFormat="1" ht="55.5" x14ac:dyDescent="0.75">
      <c r="A739" s="91"/>
      <c r="B739" s="92"/>
      <c r="C739" s="92"/>
      <c r="D739" s="190"/>
      <c r="F739" s="91"/>
      <c r="G739" s="93"/>
      <c r="L739" s="92"/>
      <c r="R739" s="94"/>
    </row>
    <row r="740" spans="1:18" s="7" customFormat="1" ht="55.5" x14ac:dyDescent="0.75">
      <c r="A740" s="91"/>
      <c r="B740" s="92"/>
      <c r="C740" s="92"/>
      <c r="D740" s="190"/>
      <c r="F740" s="91"/>
      <c r="G740" s="93"/>
      <c r="L740" s="92"/>
      <c r="R740" s="94"/>
    </row>
    <row r="741" spans="1:18" s="7" customFormat="1" ht="55.5" x14ac:dyDescent="0.75">
      <c r="A741" s="91"/>
      <c r="B741" s="92"/>
      <c r="C741" s="92"/>
      <c r="D741" s="190"/>
      <c r="F741" s="91"/>
      <c r="G741" s="93"/>
      <c r="L741" s="92"/>
      <c r="R741" s="94"/>
    </row>
    <row r="742" spans="1:18" s="7" customFormat="1" ht="55.5" x14ac:dyDescent="0.75">
      <c r="A742" s="91"/>
      <c r="B742" s="92"/>
      <c r="C742" s="92"/>
      <c r="D742" s="190"/>
      <c r="F742" s="91"/>
      <c r="G742" s="93"/>
      <c r="L742" s="92"/>
      <c r="R742" s="94"/>
    </row>
    <row r="743" spans="1:18" s="7" customFormat="1" ht="55.5" x14ac:dyDescent="0.75">
      <c r="A743" s="91"/>
      <c r="B743" s="92"/>
      <c r="C743" s="92"/>
      <c r="D743" s="190"/>
      <c r="F743" s="91"/>
      <c r="G743" s="93"/>
      <c r="L743" s="92"/>
      <c r="R743" s="94"/>
    </row>
    <row r="744" spans="1:18" s="7" customFormat="1" ht="55.5" x14ac:dyDescent="0.75">
      <c r="A744" s="91"/>
      <c r="B744" s="92"/>
      <c r="C744" s="92"/>
      <c r="D744" s="190"/>
      <c r="F744" s="91"/>
      <c r="G744" s="93"/>
      <c r="L744" s="92"/>
      <c r="R744" s="94"/>
    </row>
    <row r="745" spans="1:18" s="7" customFormat="1" ht="55.5" x14ac:dyDescent="0.75">
      <c r="A745" s="91"/>
      <c r="B745" s="92"/>
      <c r="C745" s="92"/>
      <c r="D745" s="190"/>
      <c r="F745" s="91"/>
      <c r="G745" s="93"/>
      <c r="L745" s="92"/>
      <c r="R745" s="94"/>
    </row>
    <row r="746" spans="1:18" s="7" customFormat="1" ht="55.5" x14ac:dyDescent="0.75">
      <c r="A746" s="91"/>
      <c r="B746" s="92"/>
      <c r="C746" s="92"/>
      <c r="D746" s="190"/>
      <c r="F746" s="91"/>
      <c r="G746" s="93"/>
      <c r="L746" s="92"/>
      <c r="R746" s="94"/>
    </row>
    <row r="747" spans="1:18" s="7" customFormat="1" ht="55.5" x14ac:dyDescent="0.75">
      <c r="A747" s="91"/>
      <c r="B747" s="92"/>
      <c r="C747" s="92"/>
      <c r="D747" s="190"/>
      <c r="F747" s="91"/>
      <c r="G747" s="93"/>
      <c r="L747" s="92"/>
      <c r="R747" s="94"/>
    </row>
    <row r="748" spans="1:18" s="7" customFormat="1" ht="55.5" x14ac:dyDescent="0.75">
      <c r="A748" s="91"/>
      <c r="B748" s="92"/>
      <c r="C748" s="92"/>
      <c r="D748" s="190"/>
      <c r="F748" s="91"/>
      <c r="G748" s="93"/>
      <c r="L748" s="92"/>
      <c r="R748" s="94"/>
    </row>
    <row r="749" spans="1:18" s="7" customFormat="1" ht="55.5" x14ac:dyDescent="0.75">
      <c r="A749" s="91"/>
      <c r="B749" s="92"/>
      <c r="C749" s="92"/>
      <c r="D749" s="190"/>
      <c r="F749" s="91"/>
      <c r="G749" s="93"/>
      <c r="L749" s="92"/>
      <c r="R749" s="94"/>
    </row>
    <row r="750" spans="1:18" s="7" customFormat="1" ht="55.5" x14ac:dyDescent="0.75">
      <c r="A750" s="91"/>
      <c r="B750" s="92"/>
      <c r="C750" s="92"/>
      <c r="D750" s="190"/>
      <c r="F750" s="91"/>
      <c r="G750" s="93"/>
      <c r="L750" s="92"/>
      <c r="R750" s="94"/>
    </row>
    <row r="751" spans="1:18" s="7" customFormat="1" ht="55.5" x14ac:dyDescent="0.75">
      <c r="A751" s="91"/>
      <c r="B751" s="92"/>
      <c r="C751" s="92"/>
      <c r="D751" s="190"/>
      <c r="F751" s="91"/>
      <c r="G751" s="93"/>
      <c r="L751" s="92"/>
      <c r="R751" s="94"/>
    </row>
    <row r="752" spans="1:18" s="7" customFormat="1" ht="55.5" x14ac:dyDescent="0.75">
      <c r="A752" s="91"/>
      <c r="B752" s="92"/>
      <c r="C752" s="92"/>
      <c r="D752" s="190"/>
      <c r="F752" s="91"/>
      <c r="G752" s="93"/>
      <c r="L752" s="92"/>
      <c r="R752" s="94"/>
    </row>
    <row r="753" spans="1:18" s="7" customFormat="1" ht="55.5" x14ac:dyDescent="0.75">
      <c r="A753" s="91"/>
      <c r="B753" s="92"/>
      <c r="C753" s="92"/>
      <c r="D753" s="190"/>
      <c r="F753" s="91"/>
      <c r="G753" s="93"/>
      <c r="L753" s="92"/>
      <c r="R753" s="94"/>
    </row>
    <row r="754" spans="1:18" s="7" customFormat="1" ht="55.5" x14ac:dyDescent="0.75">
      <c r="A754" s="91"/>
      <c r="B754" s="92"/>
      <c r="C754" s="92"/>
      <c r="D754" s="190"/>
      <c r="F754" s="91"/>
      <c r="G754" s="93"/>
      <c r="L754" s="92"/>
      <c r="R754" s="94"/>
    </row>
    <row r="755" spans="1:18" s="7" customFormat="1" ht="55.5" x14ac:dyDescent="0.75">
      <c r="A755" s="91"/>
      <c r="B755" s="92"/>
      <c r="C755" s="92"/>
      <c r="D755" s="190"/>
      <c r="F755" s="91"/>
      <c r="G755" s="93"/>
      <c r="L755" s="92"/>
      <c r="R755" s="94"/>
    </row>
    <row r="756" spans="1:18" s="7" customFormat="1" ht="55.5" x14ac:dyDescent="0.75">
      <c r="A756" s="91"/>
      <c r="B756" s="92"/>
      <c r="C756" s="92"/>
      <c r="D756" s="190"/>
      <c r="F756" s="91"/>
      <c r="G756" s="93"/>
      <c r="L756" s="92"/>
      <c r="R756" s="94"/>
    </row>
    <row r="757" spans="1:18" s="7" customFormat="1" ht="55.5" x14ac:dyDescent="0.75">
      <c r="A757" s="91"/>
      <c r="B757" s="92"/>
      <c r="C757" s="92"/>
      <c r="D757" s="190"/>
      <c r="F757" s="91"/>
      <c r="G757" s="93"/>
      <c r="L757" s="92"/>
      <c r="R757" s="94"/>
    </row>
    <row r="758" spans="1:18" s="7" customFormat="1" ht="55.5" x14ac:dyDescent="0.75">
      <c r="A758" s="91"/>
      <c r="B758" s="92"/>
      <c r="C758" s="92"/>
      <c r="D758" s="190"/>
      <c r="F758" s="91"/>
      <c r="G758" s="93"/>
      <c r="L758" s="92"/>
      <c r="R758" s="94"/>
    </row>
    <row r="759" spans="1:18" s="7" customFormat="1" ht="55.5" x14ac:dyDescent="0.75">
      <c r="A759" s="91"/>
      <c r="B759" s="92"/>
      <c r="C759" s="92"/>
      <c r="D759" s="190"/>
      <c r="F759" s="91"/>
      <c r="G759" s="93"/>
      <c r="L759" s="92"/>
      <c r="R759" s="94"/>
    </row>
    <row r="760" spans="1:18" s="7" customFormat="1" ht="55.5" x14ac:dyDescent="0.75">
      <c r="A760" s="91"/>
      <c r="B760" s="92"/>
      <c r="C760" s="92"/>
      <c r="D760" s="190"/>
      <c r="F760" s="91"/>
      <c r="G760" s="93"/>
      <c r="L760" s="92"/>
      <c r="R760" s="94"/>
    </row>
    <row r="761" spans="1:18" s="7" customFormat="1" ht="55.5" x14ac:dyDescent="0.75">
      <c r="A761" s="91"/>
      <c r="B761" s="92"/>
      <c r="C761" s="92"/>
      <c r="D761" s="190"/>
      <c r="F761" s="91"/>
      <c r="G761" s="93"/>
      <c r="L761" s="92"/>
      <c r="R761" s="94"/>
    </row>
    <row r="762" spans="1:18" s="7" customFormat="1" ht="55.5" x14ac:dyDescent="0.75">
      <c r="A762" s="91"/>
      <c r="B762" s="92"/>
      <c r="C762" s="92"/>
      <c r="D762" s="190"/>
      <c r="F762" s="91"/>
      <c r="G762" s="93"/>
      <c r="L762" s="92"/>
      <c r="R762" s="94"/>
    </row>
    <row r="763" spans="1:18" s="7" customFormat="1" ht="55.5" x14ac:dyDescent="0.75">
      <c r="A763" s="91"/>
      <c r="B763" s="92"/>
      <c r="C763" s="92"/>
      <c r="D763" s="190"/>
      <c r="F763" s="91"/>
      <c r="G763" s="93"/>
      <c r="L763" s="92"/>
      <c r="R763" s="94"/>
    </row>
    <row r="764" spans="1:18" s="7" customFormat="1" ht="55.5" x14ac:dyDescent="0.75">
      <c r="A764" s="91"/>
      <c r="B764" s="92"/>
      <c r="C764" s="92"/>
      <c r="D764" s="190"/>
      <c r="F764" s="91"/>
      <c r="G764" s="93"/>
      <c r="L764" s="92"/>
      <c r="R764" s="94"/>
    </row>
    <row r="765" spans="1:18" s="7" customFormat="1" ht="55.5" x14ac:dyDescent="0.75">
      <c r="A765" s="91"/>
      <c r="B765" s="92"/>
      <c r="C765" s="92"/>
      <c r="D765" s="190"/>
      <c r="F765" s="91"/>
      <c r="G765" s="93"/>
      <c r="L765" s="92"/>
      <c r="R765" s="94"/>
    </row>
    <row r="766" spans="1:18" s="7" customFormat="1" ht="55.5" x14ac:dyDescent="0.75">
      <c r="A766" s="91"/>
      <c r="B766" s="92"/>
      <c r="C766" s="92"/>
      <c r="D766" s="190"/>
      <c r="F766" s="91"/>
      <c r="G766" s="93"/>
      <c r="L766" s="92"/>
      <c r="R766" s="94"/>
    </row>
    <row r="767" spans="1:18" s="7" customFormat="1" ht="55.5" x14ac:dyDescent="0.75">
      <c r="A767" s="91"/>
      <c r="B767" s="92"/>
      <c r="C767" s="92"/>
      <c r="D767" s="190"/>
      <c r="F767" s="91"/>
      <c r="G767" s="93"/>
      <c r="L767" s="92"/>
      <c r="R767" s="94"/>
    </row>
    <row r="768" spans="1:18" s="7" customFormat="1" ht="55.5" x14ac:dyDescent="0.75">
      <c r="A768" s="91"/>
      <c r="B768" s="92"/>
      <c r="C768" s="92"/>
      <c r="D768" s="190"/>
      <c r="F768" s="91"/>
      <c r="G768" s="93"/>
      <c r="L768" s="92"/>
      <c r="R768" s="94"/>
    </row>
    <row r="769" spans="1:18" s="7" customFormat="1" ht="55.5" x14ac:dyDescent="0.75">
      <c r="A769" s="91"/>
      <c r="B769" s="92"/>
      <c r="C769" s="92"/>
      <c r="D769" s="190"/>
      <c r="F769" s="91"/>
      <c r="G769" s="93"/>
      <c r="L769" s="92"/>
      <c r="R769" s="94"/>
    </row>
    <row r="770" spans="1:18" s="7" customFormat="1" ht="55.5" x14ac:dyDescent="0.75">
      <c r="A770" s="91"/>
      <c r="B770" s="92"/>
      <c r="C770" s="92"/>
      <c r="D770" s="190"/>
      <c r="F770" s="91"/>
      <c r="G770" s="93"/>
      <c r="L770" s="92"/>
      <c r="R770" s="94"/>
    </row>
    <row r="771" spans="1:18" s="7" customFormat="1" ht="55.5" x14ac:dyDescent="0.75">
      <c r="A771" s="91"/>
      <c r="B771" s="92"/>
      <c r="C771" s="92"/>
      <c r="D771" s="190"/>
      <c r="F771" s="91"/>
      <c r="G771" s="93"/>
      <c r="L771" s="92"/>
      <c r="R771" s="94"/>
    </row>
    <row r="772" spans="1:18" s="7" customFormat="1" ht="55.5" x14ac:dyDescent="0.75">
      <c r="A772" s="91"/>
      <c r="B772" s="92"/>
      <c r="C772" s="92"/>
      <c r="D772" s="190"/>
      <c r="F772" s="91"/>
      <c r="G772" s="93"/>
      <c r="L772" s="92"/>
      <c r="R772" s="94"/>
    </row>
    <row r="773" spans="1:18" s="7" customFormat="1" ht="55.5" x14ac:dyDescent="0.75">
      <c r="A773" s="91"/>
      <c r="B773" s="92"/>
      <c r="C773" s="92"/>
      <c r="D773" s="190"/>
      <c r="F773" s="91"/>
      <c r="G773" s="93"/>
      <c r="L773" s="92"/>
      <c r="R773" s="94"/>
    </row>
    <row r="774" spans="1:18" s="7" customFormat="1" ht="55.5" x14ac:dyDescent="0.75">
      <c r="A774" s="91"/>
      <c r="B774" s="92"/>
      <c r="C774" s="92"/>
      <c r="D774" s="190"/>
      <c r="F774" s="91"/>
      <c r="G774" s="93"/>
      <c r="L774" s="92"/>
      <c r="R774" s="94"/>
    </row>
    <row r="775" spans="1:18" s="7" customFormat="1" ht="55.5" x14ac:dyDescent="0.75">
      <c r="A775" s="91"/>
      <c r="B775" s="92"/>
      <c r="C775" s="92"/>
      <c r="D775" s="190"/>
      <c r="F775" s="91"/>
      <c r="G775" s="93"/>
      <c r="L775" s="92"/>
      <c r="R775" s="94"/>
    </row>
    <row r="776" spans="1:18" s="7" customFormat="1" ht="55.5" x14ac:dyDescent="0.75">
      <c r="A776" s="91"/>
      <c r="B776" s="92"/>
      <c r="C776" s="92"/>
      <c r="D776" s="190"/>
      <c r="F776" s="91"/>
      <c r="G776" s="93"/>
      <c r="L776" s="92"/>
      <c r="R776" s="94"/>
    </row>
    <row r="777" spans="1:18" s="7" customFormat="1" ht="55.5" x14ac:dyDescent="0.75">
      <c r="A777" s="91"/>
      <c r="B777" s="92"/>
      <c r="C777" s="92"/>
      <c r="D777" s="190"/>
      <c r="F777" s="91"/>
      <c r="G777" s="93"/>
      <c r="L777" s="92"/>
      <c r="R777" s="94"/>
    </row>
    <row r="778" spans="1:18" s="7" customFormat="1" ht="55.5" x14ac:dyDescent="0.75">
      <c r="A778" s="91"/>
      <c r="B778" s="92"/>
      <c r="C778" s="92"/>
      <c r="D778" s="190"/>
      <c r="F778" s="91"/>
      <c r="G778" s="93"/>
      <c r="L778" s="92"/>
      <c r="R778" s="94"/>
    </row>
    <row r="779" spans="1:18" s="7" customFormat="1" ht="55.5" x14ac:dyDescent="0.75">
      <c r="A779" s="91"/>
      <c r="B779" s="92"/>
      <c r="C779" s="92"/>
      <c r="D779" s="190"/>
      <c r="F779" s="91"/>
      <c r="G779" s="93"/>
      <c r="L779" s="92"/>
      <c r="R779" s="94"/>
    </row>
    <row r="780" spans="1:18" s="7" customFormat="1" ht="55.5" x14ac:dyDescent="0.75">
      <c r="A780" s="91"/>
      <c r="B780" s="92"/>
      <c r="C780" s="92"/>
      <c r="D780" s="190"/>
      <c r="F780" s="91"/>
      <c r="G780" s="93"/>
      <c r="L780" s="92"/>
      <c r="R780" s="94"/>
    </row>
    <row r="781" spans="1:18" s="7" customFormat="1" ht="55.5" x14ac:dyDescent="0.75">
      <c r="A781" s="91"/>
      <c r="B781" s="92"/>
      <c r="C781" s="92"/>
      <c r="D781" s="190"/>
      <c r="F781" s="91"/>
      <c r="G781" s="93"/>
      <c r="L781" s="92"/>
      <c r="R781" s="94"/>
    </row>
    <row r="782" spans="1:18" s="7" customFormat="1" ht="55.5" x14ac:dyDescent="0.75">
      <c r="A782" s="91"/>
      <c r="B782" s="92"/>
      <c r="C782" s="92"/>
      <c r="D782" s="190"/>
      <c r="F782" s="91"/>
      <c r="G782" s="93"/>
      <c r="L782" s="92"/>
      <c r="R782" s="94"/>
    </row>
    <row r="783" spans="1:18" s="7" customFormat="1" ht="55.5" x14ac:dyDescent="0.75">
      <c r="A783" s="91"/>
      <c r="B783" s="92"/>
      <c r="C783" s="92"/>
      <c r="D783" s="190"/>
      <c r="F783" s="91"/>
      <c r="G783" s="93"/>
      <c r="L783" s="92"/>
      <c r="R783" s="94"/>
    </row>
    <row r="784" spans="1:18" s="7" customFormat="1" ht="55.5" x14ac:dyDescent="0.75">
      <c r="A784" s="91"/>
      <c r="B784" s="92"/>
      <c r="C784" s="92"/>
      <c r="D784" s="190"/>
      <c r="F784" s="91"/>
      <c r="G784" s="93"/>
      <c r="L784" s="92"/>
      <c r="R784" s="94"/>
    </row>
    <row r="785" spans="1:18" s="7" customFormat="1" ht="55.5" x14ac:dyDescent="0.75">
      <c r="A785" s="91"/>
      <c r="B785" s="92"/>
      <c r="C785" s="92"/>
      <c r="D785" s="190"/>
      <c r="F785" s="91"/>
      <c r="G785" s="93"/>
      <c r="L785" s="92"/>
      <c r="R785" s="94"/>
    </row>
    <row r="786" spans="1:18" s="7" customFormat="1" ht="55.5" x14ac:dyDescent="0.75">
      <c r="A786" s="91"/>
      <c r="B786" s="92"/>
      <c r="C786" s="92"/>
      <c r="D786" s="190"/>
      <c r="F786" s="91"/>
      <c r="G786" s="93"/>
      <c r="L786" s="92"/>
      <c r="R786" s="94"/>
    </row>
    <row r="787" spans="1:18" s="7" customFormat="1" ht="55.5" x14ac:dyDescent="0.75">
      <c r="A787" s="91"/>
      <c r="B787" s="92"/>
      <c r="C787" s="92"/>
      <c r="D787" s="190"/>
      <c r="F787" s="91"/>
      <c r="G787" s="93"/>
      <c r="L787" s="92"/>
      <c r="R787" s="94"/>
    </row>
    <row r="788" spans="1:18" s="7" customFormat="1" ht="55.5" x14ac:dyDescent="0.75">
      <c r="A788" s="91"/>
      <c r="B788" s="92"/>
      <c r="C788" s="92"/>
      <c r="D788" s="190"/>
      <c r="F788" s="91"/>
      <c r="G788" s="93"/>
      <c r="L788" s="92"/>
      <c r="R788" s="94"/>
    </row>
    <row r="789" spans="1:18" s="7" customFormat="1" ht="55.5" x14ac:dyDescent="0.75">
      <c r="A789" s="91"/>
      <c r="B789" s="92"/>
      <c r="C789" s="92"/>
      <c r="D789" s="190"/>
      <c r="F789" s="91"/>
      <c r="G789" s="93"/>
      <c r="L789" s="92"/>
      <c r="R789" s="94"/>
    </row>
    <row r="790" spans="1:18" s="7" customFormat="1" ht="55.5" x14ac:dyDescent="0.75">
      <c r="A790" s="91"/>
      <c r="B790" s="92"/>
      <c r="C790" s="92"/>
      <c r="D790" s="190"/>
      <c r="F790" s="91"/>
      <c r="G790" s="93"/>
      <c r="L790" s="92"/>
      <c r="R790" s="94"/>
    </row>
    <row r="791" spans="1:18" s="7" customFormat="1" ht="55.5" x14ac:dyDescent="0.75">
      <c r="A791" s="91"/>
      <c r="B791" s="92"/>
      <c r="C791" s="92"/>
      <c r="D791" s="190"/>
      <c r="F791" s="91"/>
      <c r="G791" s="93"/>
      <c r="L791" s="92"/>
      <c r="R791" s="94"/>
    </row>
    <row r="792" spans="1:18" s="7" customFormat="1" ht="55.5" x14ac:dyDescent="0.75">
      <c r="A792" s="91"/>
      <c r="B792" s="92"/>
      <c r="C792" s="92"/>
      <c r="D792" s="190"/>
      <c r="F792" s="91"/>
      <c r="G792" s="93"/>
      <c r="L792" s="92"/>
      <c r="R792" s="94"/>
    </row>
    <row r="793" spans="1:18" s="7" customFormat="1" ht="55.5" x14ac:dyDescent="0.75">
      <c r="A793" s="91"/>
      <c r="B793" s="92"/>
      <c r="C793" s="92"/>
      <c r="D793" s="190"/>
      <c r="F793" s="91"/>
      <c r="G793" s="93"/>
      <c r="L793" s="92"/>
      <c r="R793" s="94"/>
    </row>
    <row r="794" spans="1:18" s="7" customFormat="1" ht="55.5" x14ac:dyDescent="0.75">
      <c r="A794" s="91"/>
      <c r="B794" s="92"/>
      <c r="C794" s="92"/>
      <c r="D794" s="190"/>
      <c r="F794" s="91"/>
      <c r="G794" s="93"/>
      <c r="L794" s="92"/>
      <c r="R794" s="94"/>
    </row>
    <row r="795" spans="1:18" s="7" customFormat="1" ht="55.5" x14ac:dyDescent="0.75">
      <c r="A795" s="91"/>
      <c r="B795" s="92"/>
      <c r="C795" s="92"/>
      <c r="D795" s="190"/>
      <c r="F795" s="91"/>
      <c r="G795" s="93"/>
      <c r="L795" s="92"/>
      <c r="R795" s="94"/>
    </row>
    <row r="796" spans="1:18" s="7" customFormat="1" ht="55.5" x14ac:dyDescent="0.75">
      <c r="A796" s="91"/>
      <c r="B796" s="92"/>
      <c r="C796" s="92"/>
      <c r="D796" s="190"/>
      <c r="F796" s="91"/>
      <c r="G796" s="93"/>
      <c r="L796" s="92"/>
      <c r="R796" s="94"/>
    </row>
    <row r="797" spans="1:18" s="7" customFormat="1" ht="55.5" x14ac:dyDescent="0.75">
      <c r="A797" s="91"/>
      <c r="B797" s="92"/>
      <c r="C797" s="92"/>
      <c r="D797" s="190"/>
      <c r="F797" s="91"/>
      <c r="G797" s="93"/>
      <c r="L797" s="92"/>
      <c r="R797" s="94"/>
    </row>
    <row r="798" spans="1:18" s="7" customFormat="1" ht="55.5" x14ac:dyDescent="0.75">
      <c r="A798" s="91"/>
      <c r="B798" s="92"/>
      <c r="C798" s="92"/>
      <c r="D798" s="190"/>
      <c r="F798" s="91"/>
      <c r="G798" s="93"/>
      <c r="L798" s="92"/>
      <c r="R798" s="94"/>
    </row>
    <row r="799" spans="1:18" s="7" customFormat="1" ht="55.5" x14ac:dyDescent="0.75">
      <c r="A799" s="91"/>
      <c r="B799" s="92"/>
      <c r="C799" s="92"/>
      <c r="D799" s="190"/>
      <c r="F799" s="91"/>
      <c r="G799" s="93"/>
      <c r="L799" s="92"/>
      <c r="R799" s="94"/>
    </row>
    <row r="800" spans="1:18" s="7" customFormat="1" ht="55.5" x14ac:dyDescent="0.75">
      <c r="A800" s="91"/>
      <c r="B800" s="92"/>
      <c r="C800" s="92"/>
      <c r="D800" s="190"/>
      <c r="F800" s="91"/>
      <c r="G800" s="93"/>
      <c r="L800" s="92"/>
      <c r="R800" s="94"/>
    </row>
    <row r="801" spans="1:18" s="7" customFormat="1" ht="55.5" x14ac:dyDescent="0.75">
      <c r="A801" s="91"/>
      <c r="B801" s="92"/>
      <c r="C801" s="92"/>
      <c r="D801" s="190"/>
      <c r="F801" s="91"/>
      <c r="G801" s="93"/>
      <c r="L801" s="92"/>
      <c r="R801" s="94"/>
    </row>
    <row r="802" spans="1:18" s="7" customFormat="1" ht="55.5" x14ac:dyDescent="0.75">
      <c r="A802" s="91"/>
      <c r="B802" s="92"/>
      <c r="C802" s="92"/>
      <c r="D802" s="190"/>
      <c r="F802" s="91"/>
      <c r="G802" s="93"/>
      <c r="L802" s="92"/>
      <c r="R802" s="94"/>
    </row>
    <row r="803" spans="1:18" s="7" customFormat="1" ht="55.5" x14ac:dyDescent="0.75">
      <c r="A803" s="91"/>
      <c r="B803" s="92"/>
      <c r="C803" s="92"/>
      <c r="D803" s="190"/>
      <c r="F803" s="91"/>
      <c r="G803" s="93"/>
      <c r="L803" s="92"/>
      <c r="R803" s="94"/>
    </row>
    <row r="804" spans="1:18" s="7" customFormat="1" ht="55.5" x14ac:dyDescent="0.75">
      <c r="A804" s="91"/>
      <c r="B804" s="92"/>
      <c r="C804" s="92"/>
      <c r="D804" s="190"/>
      <c r="F804" s="91"/>
      <c r="G804" s="93"/>
      <c r="L804" s="92"/>
      <c r="R804" s="94"/>
    </row>
    <row r="805" spans="1:18" s="7" customFormat="1" ht="55.5" x14ac:dyDescent="0.75">
      <c r="A805" s="91"/>
      <c r="B805" s="92"/>
      <c r="C805" s="92"/>
      <c r="D805" s="190"/>
      <c r="F805" s="91"/>
      <c r="G805" s="93"/>
      <c r="L805" s="92"/>
      <c r="R805" s="94"/>
    </row>
    <row r="806" spans="1:18" s="7" customFormat="1" ht="55.5" x14ac:dyDescent="0.75">
      <c r="A806" s="91"/>
      <c r="B806" s="92"/>
      <c r="C806" s="92"/>
      <c r="D806" s="190"/>
      <c r="F806" s="91"/>
      <c r="G806" s="93"/>
      <c r="L806" s="92"/>
      <c r="R806" s="94"/>
    </row>
    <row r="807" spans="1:18" s="7" customFormat="1" ht="55.5" x14ac:dyDescent="0.75">
      <c r="A807" s="91"/>
      <c r="B807" s="92"/>
      <c r="C807" s="92"/>
      <c r="D807" s="190"/>
      <c r="F807" s="91"/>
      <c r="G807" s="93"/>
      <c r="L807" s="92"/>
      <c r="R807" s="94"/>
    </row>
    <row r="808" spans="1:18" s="7" customFormat="1" ht="55.5" x14ac:dyDescent="0.75">
      <c r="A808" s="91"/>
      <c r="B808" s="92"/>
      <c r="C808" s="92"/>
      <c r="D808" s="190"/>
      <c r="F808" s="91"/>
      <c r="G808" s="93"/>
      <c r="L808" s="92"/>
      <c r="R808" s="94"/>
    </row>
    <row r="809" spans="1:18" s="7" customFormat="1" ht="55.5" x14ac:dyDescent="0.75">
      <c r="A809" s="91"/>
      <c r="B809" s="92"/>
      <c r="C809" s="92"/>
      <c r="D809" s="190"/>
      <c r="F809" s="91"/>
      <c r="G809" s="93"/>
      <c r="L809" s="92"/>
      <c r="R809" s="94"/>
    </row>
    <row r="810" spans="1:18" s="7" customFormat="1" ht="55.5" x14ac:dyDescent="0.75">
      <c r="A810" s="91"/>
      <c r="B810" s="92"/>
      <c r="C810" s="92"/>
      <c r="D810" s="190"/>
      <c r="F810" s="91"/>
      <c r="G810" s="93"/>
      <c r="L810" s="92"/>
      <c r="R810" s="94"/>
    </row>
    <row r="811" spans="1:18" s="7" customFormat="1" ht="55.5" x14ac:dyDescent="0.75">
      <c r="A811" s="91"/>
      <c r="B811" s="92"/>
      <c r="C811" s="92"/>
      <c r="D811" s="190"/>
      <c r="F811" s="91"/>
      <c r="G811" s="93"/>
      <c r="L811" s="92"/>
      <c r="R811" s="94"/>
    </row>
    <row r="812" spans="1:18" s="7" customFormat="1" ht="55.5" x14ac:dyDescent="0.75">
      <c r="A812" s="91"/>
      <c r="B812" s="92"/>
      <c r="C812" s="92"/>
      <c r="D812" s="190"/>
      <c r="F812" s="91"/>
      <c r="G812" s="93"/>
      <c r="L812" s="92"/>
      <c r="R812" s="94"/>
    </row>
    <row r="813" spans="1:18" s="7" customFormat="1" ht="55.5" x14ac:dyDescent="0.75">
      <c r="A813" s="91"/>
      <c r="B813" s="92"/>
      <c r="C813" s="92"/>
      <c r="D813" s="190"/>
      <c r="F813" s="91"/>
      <c r="G813" s="93"/>
      <c r="L813" s="92"/>
      <c r="R813" s="94"/>
    </row>
    <row r="814" spans="1:18" s="7" customFormat="1" ht="55.5" x14ac:dyDescent="0.75">
      <c r="A814" s="91"/>
      <c r="B814" s="92"/>
      <c r="C814" s="92"/>
      <c r="D814" s="190"/>
      <c r="F814" s="91"/>
      <c r="G814" s="93"/>
      <c r="L814" s="92"/>
      <c r="R814" s="94"/>
    </row>
    <row r="815" spans="1:18" s="7" customFormat="1" ht="55.5" x14ac:dyDescent="0.75">
      <c r="A815" s="91"/>
      <c r="B815" s="92"/>
      <c r="C815" s="92"/>
      <c r="D815" s="190"/>
      <c r="F815" s="91"/>
      <c r="G815" s="93"/>
      <c r="L815" s="92"/>
      <c r="R815" s="94"/>
    </row>
    <row r="816" spans="1:18" s="7" customFormat="1" ht="55.5" x14ac:dyDescent="0.75">
      <c r="A816" s="91"/>
      <c r="B816" s="92"/>
      <c r="C816" s="92"/>
      <c r="D816" s="190"/>
      <c r="F816" s="91"/>
      <c r="G816" s="93"/>
      <c r="L816" s="92"/>
      <c r="R816" s="94"/>
    </row>
    <row r="817" spans="1:18" s="7" customFormat="1" ht="55.5" x14ac:dyDescent="0.75">
      <c r="A817" s="91"/>
      <c r="B817" s="92"/>
      <c r="C817" s="92"/>
      <c r="D817" s="190"/>
      <c r="F817" s="91"/>
      <c r="G817" s="93"/>
      <c r="L817" s="92"/>
      <c r="R817" s="94"/>
    </row>
    <row r="818" spans="1:18" s="7" customFormat="1" ht="55.5" x14ac:dyDescent="0.75">
      <c r="A818" s="91"/>
      <c r="B818" s="92"/>
      <c r="C818" s="92"/>
      <c r="D818" s="190"/>
      <c r="F818" s="91"/>
      <c r="G818" s="93"/>
      <c r="L818" s="92"/>
      <c r="R818" s="94"/>
    </row>
    <row r="819" spans="1:18" s="7" customFormat="1" ht="55.5" x14ac:dyDescent="0.75">
      <c r="A819" s="91"/>
      <c r="B819" s="92"/>
      <c r="C819" s="92"/>
      <c r="D819" s="190"/>
      <c r="F819" s="91"/>
      <c r="G819" s="93"/>
      <c r="L819" s="92"/>
      <c r="R819" s="94"/>
    </row>
    <row r="820" spans="1:18" s="7" customFormat="1" ht="55.5" x14ac:dyDescent="0.75">
      <c r="A820" s="91"/>
      <c r="B820" s="92"/>
      <c r="C820" s="92"/>
      <c r="D820" s="190"/>
      <c r="F820" s="91"/>
      <c r="G820" s="93"/>
      <c r="L820" s="92"/>
      <c r="R820" s="94"/>
    </row>
    <row r="821" spans="1:18" s="7" customFormat="1" ht="55.5" x14ac:dyDescent="0.75">
      <c r="A821" s="91"/>
      <c r="B821" s="92"/>
      <c r="C821" s="92"/>
      <c r="D821" s="190"/>
      <c r="F821" s="91"/>
      <c r="G821" s="93"/>
      <c r="L821" s="92"/>
      <c r="R821" s="94"/>
    </row>
    <row r="822" spans="1:18" s="7" customFormat="1" ht="55.5" x14ac:dyDescent="0.75">
      <c r="A822" s="91"/>
      <c r="B822" s="92"/>
      <c r="C822" s="92"/>
      <c r="D822" s="190"/>
      <c r="F822" s="91"/>
      <c r="G822" s="93"/>
      <c r="L822" s="92"/>
      <c r="R822" s="94"/>
    </row>
    <row r="823" spans="1:18" s="7" customFormat="1" ht="55.5" x14ac:dyDescent="0.75">
      <c r="A823" s="91"/>
      <c r="B823" s="92"/>
      <c r="C823" s="92"/>
      <c r="D823" s="190"/>
      <c r="F823" s="91"/>
      <c r="G823" s="93"/>
      <c r="L823" s="92"/>
      <c r="R823" s="94"/>
    </row>
    <row r="824" spans="1:18" s="7" customFormat="1" ht="55.5" x14ac:dyDescent="0.75">
      <c r="A824" s="91"/>
      <c r="B824" s="92"/>
      <c r="C824" s="92"/>
      <c r="D824" s="190"/>
      <c r="F824" s="91"/>
      <c r="G824" s="93"/>
      <c r="L824" s="92"/>
      <c r="R824" s="94"/>
    </row>
    <row r="825" spans="1:18" s="7" customFormat="1" ht="55.5" x14ac:dyDescent="0.75">
      <c r="A825" s="91"/>
      <c r="B825" s="92"/>
      <c r="C825" s="92"/>
      <c r="D825" s="190"/>
      <c r="F825" s="91"/>
      <c r="G825" s="93"/>
      <c r="L825" s="92"/>
      <c r="R825" s="94"/>
    </row>
    <row r="826" spans="1:18" s="7" customFormat="1" ht="55.5" x14ac:dyDescent="0.75">
      <c r="A826" s="91"/>
      <c r="B826" s="92"/>
      <c r="C826" s="92"/>
      <c r="D826" s="190"/>
      <c r="F826" s="91"/>
      <c r="G826" s="93"/>
      <c r="L826" s="92"/>
      <c r="R826" s="94"/>
    </row>
    <row r="827" spans="1:18" s="7" customFormat="1" ht="55.5" x14ac:dyDescent="0.75">
      <c r="A827" s="91"/>
      <c r="B827" s="92"/>
      <c r="C827" s="92"/>
      <c r="D827" s="190"/>
      <c r="F827" s="91"/>
      <c r="G827" s="93"/>
      <c r="L827" s="92"/>
      <c r="R827" s="94"/>
    </row>
    <row r="828" spans="1:18" s="7" customFormat="1" ht="55.5" x14ac:dyDescent="0.75">
      <c r="A828" s="91"/>
      <c r="B828" s="92"/>
      <c r="C828" s="92"/>
      <c r="D828" s="190"/>
      <c r="F828" s="91"/>
      <c r="G828" s="93"/>
      <c r="L828" s="92"/>
      <c r="R828" s="94"/>
    </row>
    <row r="829" spans="1:18" s="7" customFormat="1" ht="55.5" x14ac:dyDescent="0.75">
      <c r="A829" s="91"/>
      <c r="B829" s="92"/>
      <c r="C829" s="92"/>
      <c r="D829" s="190"/>
      <c r="F829" s="91"/>
      <c r="G829" s="93"/>
      <c r="L829" s="92"/>
      <c r="R829" s="94"/>
    </row>
    <row r="830" spans="1:18" s="7" customFormat="1" ht="55.5" x14ac:dyDescent="0.75">
      <c r="A830" s="91"/>
      <c r="B830" s="92"/>
      <c r="C830" s="92"/>
      <c r="D830" s="190"/>
      <c r="F830" s="91"/>
      <c r="G830" s="93"/>
      <c r="L830" s="92"/>
      <c r="R830" s="94"/>
    </row>
    <row r="831" spans="1:18" s="7" customFormat="1" ht="55.5" x14ac:dyDescent="0.75">
      <c r="A831" s="91"/>
      <c r="B831" s="92"/>
      <c r="C831" s="92"/>
      <c r="D831" s="190"/>
      <c r="F831" s="91"/>
      <c r="G831" s="93"/>
      <c r="L831" s="92"/>
      <c r="R831" s="94"/>
    </row>
    <row r="832" spans="1:18" s="7" customFormat="1" ht="55.5" x14ac:dyDescent="0.75">
      <c r="A832" s="91"/>
      <c r="B832" s="92"/>
      <c r="C832" s="92"/>
      <c r="D832" s="190"/>
      <c r="F832" s="91"/>
      <c r="G832" s="93"/>
      <c r="L832" s="92"/>
      <c r="R832" s="94"/>
    </row>
    <row r="833" spans="1:18" s="7" customFormat="1" ht="55.5" x14ac:dyDescent="0.75">
      <c r="A833" s="91"/>
      <c r="B833" s="92"/>
      <c r="C833" s="92"/>
      <c r="D833" s="190"/>
      <c r="F833" s="91"/>
      <c r="G833" s="93"/>
      <c r="L833" s="92"/>
      <c r="R833" s="94"/>
    </row>
    <row r="834" spans="1:18" s="7" customFormat="1" ht="55.5" x14ac:dyDescent="0.75">
      <c r="A834" s="91"/>
      <c r="B834" s="92"/>
      <c r="C834" s="92"/>
      <c r="D834" s="190"/>
      <c r="F834" s="91"/>
      <c r="G834" s="93"/>
      <c r="L834" s="92"/>
      <c r="R834" s="94"/>
    </row>
    <row r="835" spans="1:18" s="7" customFormat="1" ht="55.5" x14ac:dyDescent="0.75">
      <c r="A835" s="91"/>
      <c r="B835" s="92"/>
      <c r="C835" s="92"/>
      <c r="D835" s="190"/>
      <c r="F835" s="91"/>
      <c r="G835" s="93"/>
      <c r="L835" s="92"/>
      <c r="R835" s="94"/>
    </row>
    <row r="836" spans="1:18" s="7" customFormat="1" ht="55.5" x14ac:dyDescent="0.75">
      <c r="A836" s="91"/>
      <c r="B836" s="92"/>
      <c r="C836" s="92"/>
      <c r="D836" s="190"/>
      <c r="F836" s="91"/>
      <c r="G836" s="93"/>
      <c r="L836" s="92"/>
      <c r="R836" s="94"/>
    </row>
    <row r="837" spans="1:18" s="7" customFormat="1" ht="55.5" x14ac:dyDescent="0.75">
      <c r="A837" s="91"/>
      <c r="B837" s="92"/>
      <c r="C837" s="92"/>
      <c r="D837" s="190"/>
      <c r="F837" s="91"/>
      <c r="G837" s="93"/>
      <c r="L837" s="92"/>
      <c r="R837" s="94"/>
    </row>
    <row r="838" spans="1:18" s="7" customFormat="1" ht="55.5" x14ac:dyDescent="0.75">
      <c r="A838" s="91"/>
      <c r="B838" s="92"/>
      <c r="C838" s="92"/>
      <c r="D838" s="190"/>
      <c r="F838" s="91"/>
      <c r="G838" s="93"/>
      <c r="L838" s="92"/>
      <c r="R838" s="94"/>
    </row>
    <row r="839" spans="1:18" s="7" customFormat="1" ht="55.5" x14ac:dyDescent="0.75">
      <c r="A839" s="91"/>
      <c r="B839" s="92"/>
      <c r="C839" s="92"/>
      <c r="D839" s="190"/>
      <c r="F839" s="91"/>
      <c r="G839" s="93"/>
      <c r="L839" s="92"/>
      <c r="R839" s="94"/>
    </row>
    <row r="840" spans="1:18" s="7" customFormat="1" ht="55.5" x14ac:dyDescent="0.75">
      <c r="A840" s="91"/>
      <c r="B840" s="92"/>
      <c r="C840" s="92"/>
      <c r="D840" s="190"/>
      <c r="F840" s="91"/>
      <c r="G840" s="93"/>
      <c r="L840" s="92"/>
      <c r="R840" s="94"/>
    </row>
    <row r="841" spans="1:18" s="7" customFormat="1" ht="55.5" x14ac:dyDescent="0.75">
      <c r="A841" s="91"/>
      <c r="B841" s="92"/>
      <c r="C841" s="92"/>
      <c r="D841" s="190"/>
      <c r="F841" s="91"/>
      <c r="G841" s="93"/>
      <c r="L841" s="92"/>
      <c r="R841" s="94"/>
    </row>
    <row r="842" spans="1:18" s="7" customFormat="1" ht="55.5" x14ac:dyDescent="0.75">
      <c r="A842" s="91"/>
      <c r="B842" s="92"/>
      <c r="C842" s="92"/>
      <c r="D842" s="190"/>
      <c r="F842" s="91"/>
      <c r="G842" s="93"/>
      <c r="L842" s="92"/>
      <c r="R842" s="94"/>
    </row>
    <row r="843" spans="1:18" s="7" customFormat="1" ht="55.5" x14ac:dyDescent="0.75">
      <c r="A843" s="91"/>
      <c r="B843" s="92"/>
      <c r="C843" s="92"/>
      <c r="D843" s="190"/>
      <c r="F843" s="91"/>
      <c r="G843" s="93"/>
      <c r="L843" s="92"/>
      <c r="R843" s="94"/>
    </row>
    <row r="844" spans="1:18" s="7" customFormat="1" ht="55.5" x14ac:dyDescent="0.75">
      <c r="A844" s="91"/>
      <c r="B844" s="92"/>
      <c r="C844" s="92"/>
      <c r="D844" s="190"/>
      <c r="F844" s="91"/>
      <c r="G844" s="93"/>
      <c r="L844" s="92"/>
      <c r="R844" s="94"/>
    </row>
    <row r="845" spans="1:18" s="7" customFormat="1" ht="55.5" x14ac:dyDescent="0.75">
      <c r="A845" s="91"/>
      <c r="B845" s="92"/>
      <c r="C845" s="92"/>
      <c r="D845" s="190"/>
      <c r="F845" s="91"/>
      <c r="G845" s="93"/>
      <c r="L845" s="92"/>
      <c r="R845" s="94"/>
    </row>
    <row r="846" spans="1:18" s="7" customFormat="1" ht="55.5" x14ac:dyDescent="0.75">
      <c r="A846" s="91"/>
      <c r="B846" s="92"/>
      <c r="C846" s="92"/>
      <c r="D846" s="190"/>
      <c r="F846" s="91"/>
      <c r="G846" s="93"/>
      <c r="L846" s="92"/>
      <c r="R846" s="94"/>
    </row>
    <row r="847" spans="1:18" s="7" customFormat="1" ht="55.5" x14ac:dyDescent="0.75">
      <c r="A847" s="91"/>
      <c r="B847" s="92"/>
      <c r="C847" s="92"/>
      <c r="D847" s="190"/>
      <c r="F847" s="91"/>
      <c r="G847" s="93"/>
      <c r="L847" s="92"/>
      <c r="R847" s="94"/>
    </row>
    <row r="848" spans="1:18" s="7" customFormat="1" ht="55.5" x14ac:dyDescent="0.75">
      <c r="A848" s="91"/>
      <c r="B848" s="92"/>
      <c r="C848" s="92"/>
      <c r="D848" s="190"/>
      <c r="F848" s="91"/>
      <c r="G848" s="93"/>
      <c r="L848" s="92"/>
      <c r="R848" s="94"/>
    </row>
    <row r="849" spans="1:18" s="7" customFormat="1" ht="55.5" x14ac:dyDescent="0.75">
      <c r="A849" s="91"/>
      <c r="B849" s="92"/>
      <c r="C849" s="92"/>
      <c r="D849" s="190"/>
      <c r="F849" s="91"/>
      <c r="G849" s="93"/>
      <c r="L849" s="92"/>
      <c r="R849" s="94"/>
    </row>
    <row r="850" spans="1:18" s="7" customFormat="1" ht="55.5" x14ac:dyDescent="0.75">
      <c r="A850" s="91"/>
      <c r="B850" s="92"/>
      <c r="C850" s="92"/>
      <c r="D850" s="190"/>
      <c r="F850" s="91"/>
      <c r="G850" s="93"/>
      <c r="L850" s="92"/>
      <c r="R850" s="94"/>
    </row>
    <row r="851" spans="1:18" s="7" customFormat="1" ht="55.5" x14ac:dyDescent="0.75">
      <c r="A851" s="91"/>
      <c r="B851" s="92"/>
      <c r="C851" s="92"/>
      <c r="D851" s="190"/>
      <c r="F851" s="91"/>
      <c r="G851" s="93"/>
      <c r="L851" s="92"/>
      <c r="R851" s="94"/>
    </row>
    <row r="852" spans="1:18" s="7" customFormat="1" ht="55.5" x14ac:dyDescent="0.75">
      <c r="A852" s="91"/>
      <c r="B852" s="92"/>
      <c r="C852" s="92"/>
      <c r="D852" s="190"/>
      <c r="F852" s="91"/>
      <c r="G852" s="93"/>
      <c r="L852" s="92"/>
      <c r="R852" s="94"/>
    </row>
    <row r="853" spans="1:18" s="7" customFormat="1" ht="55.5" x14ac:dyDescent="0.75">
      <c r="A853" s="91"/>
      <c r="B853" s="92"/>
      <c r="C853" s="92"/>
      <c r="D853" s="190"/>
      <c r="F853" s="91"/>
      <c r="G853" s="93"/>
      <c r="L853" s="92"/>
      <c r="R853" s="94"/>
    </row>
    <row r="854" spans="1:18" s="7" customFormat="1" ht="55.5" x14ac:dyDescent="0.75">
      <c r="A854" s="91"/>
      <c r="B854" s="92"/>
      <c r="C854" s="92"/>
      <c r="D854" s="190"/>
      <c r="F854" s="91"/>
      <c r="G854" s="93"/>
      <c r="L854" s="92"/>
      <c r="R854" s="94"/>
    </row>
    <row r="855" spans="1:18" s="7" customFormat="1" ht="55.5" x14ac:dyDescent="0.75">
      <c r="A855" s="91"/>
      <c r="B855" s="92"/>
      <c r="C855" s="92"/>
      <c r="D855" s="190"/>
      <c r="F855" s="91"/>
      <c r="G855" s="93"/>
      <c r="L855" s="92"/>
      <c r="R855" s="94"/>
    </row>
    <row r="856" spans="1:18" s="7" customFormat="1" ht="55.5" x14ac:dyDescent="0.75">
      <c r="A856" s="91"/>
      <c r="B856" s="92"/>
      <c r="C856" s="92"/>
      <c r="D856" s="190"/>
      <c r="F856" s="91"/>
      <c r="G856" s="93"/>
      <c r="L856" s="92"/>
      <c r="R856" s="94"/>
    </row>
    <row r="857" spans="1:18" s="7" customFormat="1" ht="55.5" x14ac:dyDescent="0.75">
      <c r="A857" s="91"/>
      <c r="B857" s="92"/>
      <c r="C857" s="92"/>
      <c r="D857" s="190"/>
      <c r="F857" s="91"/>
      <c r="G857" s="93"/>
      <c r="L857" s="92"/>
      <c r="R857" s="94"/>
    </row>
    <row r="858" spans="1:18" s="7" customFormat="1" ht="55.5" x14ac:dyDescent="0.75">
      <c r="A858" s="91"/>
      <c r="B858" s="92"/>
      <c r="C858" s="92"/>
      <c r="D858" s="190"/>
      <c r="F858" s="91"/>
      <c r="G858" s="93"/>
      <c r="L858" s="92"/>
      <c r="R858" s="94"/>
    </row>
    <row r="859" spans="1:18" s="7" customFormat="1" ht="55.5" x14ac:dyDescent="0.75">
      <c r="A859" s="91"/>
      <c r="B859" s="92"/>
      <c r="C859" s="92"/>
      <c r="D859" s="190"/>
      <c r="F859" s="91"/>
      <c r="G859" s="93"/>
      <c r="L859" s="92"/>
      <c r="R859" s="94"/>
    </row>
    <row r="860" spans="1:18" s="7" customFormat="1" ht="55.5" x14ac:dyDescent="0.75">
      <c r="A860" s="91"/>
      <c r="B860" s="92"/>
      <c r="C860" s="92"/>
      <c r="D860" s="190"/>
      <c r="F860" s="91"/>
      <c r="G860" s="93"/>
      <c r="L860" s="92"/>
      <c r="R860" s="94"/>
    </row>
    <row r="861" spans="1:18" s="7" customFormat="1" ht="55.5" x14ac:dyDescent="0.75">
      <c r="A861" s="91"/>
      <c r="B861" s="92"/>
      <c r="C861" s="92"/>
      <c r="D861" s="190"/>
      <c r="F861" s="91"/>
      <c r="G861" s="93"/>
      <c r="L861" s="92"/>
      <c r="R861" s="94"/>
    </row>
    <row r="862" spans="1:18" s="7" customFormat="1" ht="55.5" x14ac:dyDescent="0.75">
      <c r="A862" s="91"/>
      <c r="B862" s="92"/>
      <c r="C862" s="92"/>
      <c r="D862" s="190"/>
      <c r="F862" s="91"/>
      <c r="G862" s="93"/>
      <c r="L862" s="92"/>
      <c r="R862" s="94"/>
    </row>
    <row r="863" spans="1:18" s="7" customFormat="1" ht="55.5" x14ac:dyDescent="0.75">
      <c r="A863" s="91"/>
      <c r="B863" s="92"/>
      <c r="C863" s="92"/>
      <c r="D863" s="190"/>
      <c r="F863" s="91"/>
      <c r="G863" s="93"/>
      <c r="L863" s="92"/>
      <c r="R863" s="94"/>
    </row>
    <row r="864" spans="1:18" s="7" customFormat="1" ht="55.5" x14ac:dyDescent="0.75">
      <c r="A864" s="91"/>
      <c r="B864" s="92"/>
      <c r="C864" s="92"/>
      <c r="D864" s="190"/>
      <c r="F864" s="91"/>
      <c r="G864" s="93"/>
      <c r="L864" s="92"/>
      <c r="R864" s="94"/>
    </row>
    <row r="865" spans="1:18" s="7" customFormat="1" ht="55.5" x14ac:dyDescent="0.75">
      <c r="A865" s="91"/>
      <c r="B865" s="92"/>
      <c r="C865" s="92"/>
      <c r="D865" s="190"/>
      <c r="F865" s="91"/>
      <c r="G865" s="93"/>
      <c r="L865" s="92"/>
      <c r="R865" s="94"/>
    </row>
    <row r="866" spans="1:18" s="7" customFormat="1" ht="55.5" x14ac:dyDescent="0.75">
      <c r="A866" s="91"/>
      <c r="B866" s="92"/>
      <c r="C866" s="92"/>
      <c r="D866" s="190"/>
      <c r="F866" s="91"/>
      <c r="G866" s="93"/>
      <c r="L866" s="92"/>
      <c r="R866" s="94"/>
    </row>
    <row r="867" spans="1:18" s="7" customFormat="1" ht="55.5" x14ac:dyDescent="0.75">
      <c r="A867" s="91"/>
      <c r="B867" s="92"/>
      <c r="C867" s="92"/>
      <c r="D867" s="190"/>
      <c r="F867" s="91"/>
      <c r="G867" s="93"/>
      <c r="L867" s="92"/>
      <c r="R867" s="94"/>
    </row>
    <row r="868" spans="1:18" s="7" customFormat="1" ht="55.5" x14ac:dyDescent="0.75">
      <c r="A868" s="91"/>
      <c r="B868" s="92"/>
      <c r="C868" s="92"/>
      <c r="D868" s="190"/>
      <c r="F868" s="91"/>
      <c r="G868" s="93"/>
      <c r="L868" s="92"/>
      <c r="R868" s="94"/>
    </row>
    <row r="869" spans="1:18" s="7" customFormat="1" ht="55.5" x14ac:dyDescent="0.75">
      <c r="A869" s="91"/>
      <c r="B869" s="92"/>
      <c r="C869" s="92"/>
      <c r="D869" s="190"/>
      <c r="F869" s="91"/>
      <c r="G869" s="93"/>
      <c r="L869" s="92"/>
      <c r="R869" s="94"/>
    </row>
    <row r="870" spans="1:18" s="7" customFormat="1" ht="55.5" x14ac:dyDescent="0.75">
      <c r="A870" s="91"/>
      <c r="B870" s="92"/>
      <c r="C870" s="92"/>
      <c r="D870" s="190"/>
      <c r="F870" s="91"/>
      <c r="G870" s="93"/>
      <c r="L870" s="92"/>
      <c r="R870" s="94"/>
    </row>
    <row r="871" spans="1:18" s="7" customFormat="1" ht="55.5" x14ac:dyDescent="0.75">
      <c r="A871" s="91"/>
      <c r="B871" s="92"/>
      <c r="C871" s="92"/>
      <c r="D871" s="190"/>
      <c r="F871" s="91"/>
      <c r="G871" s="93"/>
      <c r="L871" s="92"/>
      <c r="R871" s="94"/>
    </row>
    <row r="872" spans="1:18" s="7" customFormat="1" ht="55.5" x14ac:dyDescent="0.75">
      <c r="A872" s="91"/>
      <c r="B872" s="92"/>
      <c r="C872" s="92"/>
      <c r="D872" s="190"/>
      <c r="F872" s="91"/>
      <c r="G872" s="93"/>
      <c r="L872" s="92"/>
      <c r="R872" s="94"/>
    </row>
    <row r="873" spans="1:18" s="7" customFormat="1" ht="55.5" x14ac:dyDescent="0.75">
      <c r="A873" s="91"/>
      <c r="B873" s="92"/>
      <c r="C873" s="92"/>
      <c r="D873" s="190"/>
      <c r="F873" s="91"/>
      <c r="G873" s="93"/>
      <c r="L873" s="92"/>
      <c r="R873" s="94"/>
    </row>
    <row r="874" spans="1:18" s="7" customFormat="1" ht="55.5" x14ac:dyDescent="0.75">
      <c r="A874" s="91"/>
      <c r="B874" s="92"/>
      <c r="C874" s="92"/>
      <c r="D874" s="190"/>
      <c r="F874" s="91"/>
      <c r="G874" s="93"/>
      <c r="L874" s="92"/>
      <c r="R874" s="94"/>
    </row>
    <row r="875" spans="1:18" s="7" customFormat="1" ht="55.5" x14ac:dyDescent="0.75">
      <c r="A875" s="91"/>
      <c r="B875" s="92"/>
      <c r="C875" s="92"/>
      <c r="D875" s="190"/>
      <c r="F875" s="91"/>
      <c r="G875" s="93"/>
      <c r="L875" s="92"/>
      <c r="R875" s="94"/>
    </row>
    <row r="876" spans="1:18" s="7" customFormat="1" ht="55.5" x14ac:dyDescent="0.75">
      <c r="A876" s="91"/>
      <c r="B876" s="92"/>
      <c r="C876" s="92"/>
      <c r="D876" s="190"/>
      <c r="F876" s="91"/>
      <c r="G876" s="93"/>
      <c r="L876" s="92"/>
      <c r="R876" s="94"/>
    </row>
    <row r="877" spans="1:18" s="7" customFormat="1" ht="55.5" x14ac:dyDescent="0.75">
      <c r="A877" s="91"/>
      <c r="B877" s="92"/>
      <c r="C877" s="92"/>
      <c r="D877" s="190"/>
      <c r="F877" s="91"/>
      <c r="G877" s="93"/>
      <c r="L877" s="92"/>
      <c r="R877" s="94"/>
    </row>
    <row r="878" spans="1:18" s="7" customFormat="1" ht="55.5" x14ac:dyDescent="0.75">
      <c r="A878" s="91"/>
      <c r="B878" s="92"/>
      <c r="C878" s="92"/>
      <c r="D878" s="190"/>
      <c r="F878" s="91"/>
      <c r="G878" s="93"/>
      <c r="L878" s="92"/>
      <c r="R878" s="94"/>
    </row>
    <row r="879" spans="1:18" s="7" customFormat="1" ht="55.5" x14ac:dyDescent="0.75">
      <c r="A879" s="91"/>
      <c r="B879" s="92"/>
      <c r="C879" s="92"/>
      <c r="D879" s="190"/>
      <c r="F879" s="91"/>
      <c r="G879" s="93"/>
      <c r="L879" s="92"/>
      <c r="R879" s="94"/>
    </row>
    <row r="880" spans="1:18" s="7" customFormat="1" ht="55.5" x14ac:dyDescent="0.75">
      <c r="A880" s="91"/>
      <c r="B880" s="92"/>
      <c r="C880" s="92"/>
      <c r="D880" s="190"/>
      <c r="F880" s="91"/>
      <c r="G880" s="93"/>
      <c r="L880" s="92"/>
      <c r="R880" s="94"/>
    </row>
    <row r="881" spans="1:18" s="7" customFormat="1" ht="55.5" x14ac:dyDescent="0.75">
      <c r="A881" s="91"/>
      <c r="B881" s="92"/>
      <c r="C881" s="92"/>
      <c r="D881" s="190"/>
      <c r="F881" s="91"/>
      <c r="G881" s="93"/>
      <c r="L881" s="92"/>
      <c r="R881" s="94"/>
    </row>
    <row r="882" spans="1:18" s="7" customFormat="1" ht="55.5" x14ac:dyDescent="0.75">
      <c r="A882" s="91"/>
      <c r="B882" s="92"/>
      <c r="C882" s="92"/>
      <c r="D882" s="190"/>
      <c r="F882" s="91"/>
      <c r="G882" s="93"/>
      <c r="L882" s="92"/>
      <c r="R882" s="94"/>
    </row>
    <row r="883" spans="1:18" s="7" customFormat="1" ht="55.5" x14ac:dyDescent="0.75">
      <c r="A883" s="91"/>
      <c r="B883" s="92"/>
      <c r="C883" s="92"/>
      <c r="D883" s="190"/>
      <c r="F883" s="91"/>
      <c r="G883" s="93"/>
      <c r="L883" s="92"/>
      <c r="R883" s="94"/>
    </row>
    <row r="884" spans="1:18" s="7" customFormat="1" ht="55.5" x14ac:dyDescent="0.75">
      <c r="A884" s="91"/>
      <c r="B884" s="92"/>
      <c r="C884" s="92"/>
      <c r="D884" s="190"/>
      <c r="F884" s="91"/>
      <c r="G884" s="93"/>
      <c r="L884" s="92"/>
      <c r="R884" s="94"/>
    </row>
    <row r="885" spans="1:18" s="7" customFormat="1" ht="55.5" x14ac:dyDescent="0.75">
      <c r="A885" s="91"/>
      <c r="B885" s="92"/>
      <c r="C885" s="92"/>
      <c r="D885" s="190"/>
      <c r="F885" s="91"/>
      <c r="G885" s="93"/>
      <c r="L885" s="92"/>
      <c r="R885" s="94"/>
    </row>
    <row r="886" spans="1:18" s="7" customFormat="1" ht="55.5" x14ac:dyDescent="0.75">
      <c r="A886" s="91"/>
      <c r="B886" s="92"/>
      <c r="C886" s="92"/>
      <c r="D886" s="190"/>
      <c r="F886" s="91"/>
      <c r="G886" s="93"/>
      <c r="L886" s="92"/>
      <c r="R886" s="94"/>
    </row>
    <row r="887" spans="1:18" s="7" customFormat="1" ht="55.5" x14ac:dyDescent="0.75">
      <c r="A887" s="91"/>
      <c r="B887" s="92"/>
      <c r="C887" s="92"/>
      <c r="D887" s="190"/>
      <c r="F887" s="91"/>
      <c r="G887" s="93"/>
      <c r="L887" s="92"/>
      <c r="R887" s="94"/>
    </row>
    <row r="888" spans="1:18" s="7" customFormat="1" ht="55.5" x14ac:dyDescent="0.75">
      <c r="A888" s="91"/>
      <c r="B888" s="92"/>
      <c r="C888" s="92"/>
      <c r="D888" s="190"/>
      <c r="F888" s="91"/>
      <c r="G888" s="93"/>
      <c r="L888" s="92"/>
      <c r="R888" s="94"/>
    </row>
    <row r="889" spans="1:18" s="7" customFormat="1" ht="55.5" x14ac:dyDescent="0.75">
      <c r="A889" s="91"/>
      <c r="B889" s="92"/>
      <c r="C889" s="92"/>
      <c r="D889" s="190"/>
      <c r="F889" s="91"/>
      <c r="G889" s="93"/>
      <c r="L889" s="92"/>
      <c r="R889" s="94"/>
    </row>
    <row r="890" spans="1:18" s="7" customFormat="1" ht="55.5" x14ac:dyDescent="0.75">
      <c r="A890" s="91"/>
      <c r="B890" s="92"/>
      <c r="C890" s="92"/>
      <c r="D890" s="190"/>
      <c r="F890" s="91"/>
      <c r="G890" s="93"/>
      <c r="L890" s="92"/>
      <c r="R890" s="94"/>
    </row>
    <row r="891" spans="1:18" s="7" customFormat="1" ht="55.5" x14ac:dyDescent="0.75">
      <c r="A891" s="91"/>
      <c r="B891" s="92"/>
      <c r="C891" s="92"/>
      <c r="D891" s="190"/>
      <c r="F891" s="91"/>
      <c r="G891" s="93"/>
      <c r="L891" s="92"/>
      <c r="R891" s="94"/>
    </row>
    <row r="892" spans="1:18" s="7" customFormat="1" ht="55.5" x14ac:dyDescent="0.75">
      <c r="A892" s="91"/>
      <c r="B892" s="92"/>
      <c r="C892" s="92"/>
      <c r="D892" s="190"/>
      <c r="F892" s="91"/>
      <c r="G892" s="93"/>
      <c r="L892" s="92"/>
      <c r="R892" s="94"/>
    </row>
    <row r="893" spans="1:18" s="7" customFormat="1" ht="55.5" x14ac:dyDescent="0.75">
      <c r="A893" s="91"/>
      <c r="B893" s="92"/>
      <c r="C893" s="92"/>
      <c r="D893" s="190"/>
      <c r="F893" s="91"/>
      <c r="G893" s="93"/>
      <c r="L893" s="92"/>
      <c r="R893" s="94"/>
    </row>
    <row r="894" spans="1:18" s="7" customFormat="1" ht="55.5" x14ac:dyDescent="0.75">
      <c r="A894" s="91"/>
      <c r="B894" s="92"/>
      <c r="C894" s="92"/>
      <c r="D894" s="190"/>
      <c r="F894" s="91"/>
      <c r="G894" s="93"/>
      <c r="L894" s="92"/>
      <c r="R894" s="94"/>
    </row>
    <row r="895" spans="1:18" s="7" customFormat="1" ht="55.5" x14ac:dyDescent="0.75">
      <c r="A895" s="91"/>
      <c r="B895" s="92"/>
      <c r="C895" s="92"/>
      <c r="D895" s="190"/>
      <c r="F895" s="91"/>
      <c r="G895" s="93"/>
      <c r="L895" s="92"/>
      <c r="R895" s="94"/>
    </row>
    <row r="896" spans="1:18" s="7" customFormat="1" ht="55.5" x14ac:dyDescent="0.75">
      <c r="A896" s="91"/>
      <c r="B896" s="92"/>
      <c r="C896" s="92"/>
      <c r="D896" s="190"/>
      <c r="F896" s="91"/>
      <c r="G896" s="93"/>
      <c r="L896" s="92"/>
      <c r="R896" s="94"/>
    </row>
    <row r="897" spans="1:18" s="7" customFormat="1" ht="55.5" x14ac:dyDescent="0.75">
      <c r="A897" s="91"/>
      <c r="B897" s="92"/>
      <c r="C897" s="92"/>
      <c r="D897" s="190"/>
      <c r="F897" s="91"/>
      <c r="G897" s="93"/>
      <c r="L897" s="92"/>
      <c r="R897" s="94"/>
    </row>
    <row r="898" spans="1:18" s="7" customFormat="1" ht="55.5" x14ac:dyDescent="0.75">
      <c r="A898" s="91"/>
      <c r="B898" s="92"/>
      <c r="C898" s="92"/>
      <c r="D898" s="190"/>
      <c r="F898" s="91"/>
      <c r="G898" s="93"/>
      <c r="L898" s="92"/>
      <c r="R898" s="94"/>
    </row>
    <row r="899" spans="1:18" s="7" customFormat="1" ht="55.5" x14ac:dyDescent="0.75">
      <c r="A899" s="91"/>
      <c r="B899" s="92"/>
      <c r="C899" s="92"/>
      <c r="D899" s="190"/>
      <c r="F899" s="91"/>
      <c r="G899" s="93"/>
      <c r="L899" s="92"/>
      <c r="R899" s="94"/>
    </row>
    <row r="900" spans="1:18" s="7" customFormat="1" ht="55.5" x14ac:dyDescent="0.75">
      <c r="A900" s="91"/>
      <c r="B900" s="92"/>
      <c r="C900" s="92"/>
      <c r="D900" s="190"/>
      <c r="F900" s="91"/>
      <c r="G900" s="93"/>
      <c r="L900" s="92"/>
      <c r="R900" s="94"/>
    </row>
    <row r="901" spans="1:18" s="7" customFormat="1" ht="55.5" x14ac:dyDescent="0.75">
      <c r="A901" s="91"/>
      <c r="B901" s="92"/>
      <c r="C901" s="92"/>
      <c r="D901" s="190"/>
      <c r="F901" s="91"/>
      <c r="G901" s="93"/>
      <c r="L901" s="92"/>
      <c r="R901" s="94"/>
    </row>
    <row r="902" spans="1:18" s="7" customFormat="1" ht="55.5" x14ac:dyDescent="0.75">
      <c r="A902" s="91"/>
      <c r="B902" s="92"/>
      <c r="C902" s="92"/>
      <c r="D902" s="190"/>
      <c r="F902" s="91"/>
      <c r="G902" s="93"/>
      <c r="L902" s="92"/>
      <c r="R902" s="94"/>
    </row>
    <row r="903" spans="1:18" s="7" customFormat="1" ht="55.5" x14ac:dyDescent="0.75">
      <c r="A903" s="91"/>
      <c r="B903" s="92"/>
      <c r="C903" s="92"/>
      <c r="D903" s="190"/>
      <c r="F903" s="91"/>
      <c r="G903" s="93"/>
      <c r="L903" s="92"/>
      <c r="R903" s="94"/>
    </row>
    <row r="904" spans="1:18" s="7" customFormat="1" ht="55.5" x14ac:dyDescent="0.75">
      <c r="A904" s="91"/>
      <c r="B904" s="92"/>
      <c r="C904" s="92"/>
      <c r="D904" s="190"/>
      <c r="F904" s="91"/>
      <c r="G904" s="93"/>
      <c r="L904" s="92"/>
      <c r="R904" s="94"/>
    </row>
    <row r="905" spans="1:18" s="7" customFormat="1" ht="55.5" x14ac:dyDescent="0.75">
      <c r="A905" s="91"/>
      <c r="B905" s="92"/>
      <c r="C905" s="92"/>
      <c r="D905" s="190"/>
      <c r="F905" s="91"/>
      <c r="G905" s="93"/>
      <c r="L905" s="92"/>
      <c r="R905" s="94"/>
    </row>
    <row r="906" spans="1:18" s="7" customFormat="1" ht="55.5" x14ac:dyDescent="0.75">
      <c r="A906" s="91"/>
      <c r="B906" s="92"/>
      <c r="C906" s="92"/>
      <c r="D906" s="190"/>
      <c r="F906" s="91"/>
      <c r="G906" s="93"/>
      <c r="L906" s="92"/>
      <c r="R906" s="94"/>
    </row>
    <row r="907" spans="1:18" s="7" customFormat="1" ht="55.5" x14ac:dyDescent="0.75">
      <c r="A907" s="91"/>
      <c r="B907" s="92"/>
      <c r="C907" s="92"/>
      <c r="D907" s="190"/>
      <c r="F907" s="91"/>
      <c r="G907" s="93"/>
      <c r="L907" s="92"/>
      <c r="R907" s="94"/>
    </row>
    <row r="908" spans="1:18" s="7" customFormat="1" ht="55.5" x14ac:dyDescent="0.75">
      <c r="A908" s="91"/>
      <c r="B908" s="92"/>
      <c r="C908" s="92"/>
      <c r="D908" s="190"/>
      <c r="F908" s="91"/>
      <c r="G908" s="93"/>
      <c r="L908" s="92"/>
      <c r="R908" s="94"/>
    </row>
    <row r="909" spans="1:18" s="7" customFormat="1" ht="55.5" x14ac:dyDescent="0.75">
      <c r="A909" s="91"/>
      <c r="B909" s="92"/>
      <c r="C909" s="92"/>
      <c r="D909" s="190"/>
      <c r="F909" s="91"/>
      <c r="G909" s="93"/>
      <c r="L909" s="92"/>
      <c r="R909" s="94"/>
    </row>
    <row r="910" spans="1:18" s="7" customFormat="1" ht="55.5" x14ac:dyDescent="0.75">
      <c r="A910" s="91"/>
      <c r="B910" s="92"/>
      <c r="C910" s="92"/>
      <c r="D910" s="190"/>
      <c r="F910" s="91"/>
      <c r="G910" s="93"/>
      <c r="L910" s="92"/>
      <c r="R910" s="94"/>
    </row>
    <row r="911" spans="1:18" s="7" customFormat="1" ht="55.5" x14ac:dyDescent="0.75">
      <c r="A911" s="91"/>
      <c r="B911" s="92"/>
      <c r="C911" s="92"/>
      <c r="D911" s="190"/>
      <c r="F911" s="91"/>
      <c r="G911" s="93"/>
      <c r="L911" s="92"/>
      <c r="R911" s="94"/>
    </row>
    <row r="912" spans="1:18" s="7" customFormat="1" ht="55.5" x14ac:dyDescent="0.75">
      <c r="A912" s="91"/>
      <c r="B912" s="92"/>
      <c r="C912" s="92"/>
      <c r="D912" s="190"/>
      <c r="F912" s="91"/>
      <c r="G912" s="93"/>
      <c r="L912" s="92"/>
      <c r="R912" s="94"/>
    </row>
    <row r="913" spans="1:18" s="7" customFormat="1" ht="55.5" x14ac:dyDescent="0.75">
      <c r="A913" s="91"/>
      <c r="B913" s="92"/>
      <c r="C913" s="92"/>
      <c r="D913" s="190"/>
      <c r="F913" s="91"/>
      <c r="G913" s="93"/>
      <c r="L913" s="92"/>
      <c r="R913" s="94"/>
    </row>
    <row r="914" spans="1:18" s="7" customFormat="1" ht="55.5" x14ac:dyDescent="0.75">
      <c r="A914" s="91"/>
      <c r="B914" s="92"/>
      <c r="C914" s="92"/>
      <c r="D914" s="190"/>
      <c r="F914" s="91"/>
      <c r="G914" s="93"/>
      <c r="L914" s="92"/>
      <c r="R914" s="94"/>
    </row>
    <row r="915" spans="1:18" s="7" customFormat="1" ht="55.5" x14ac:dyDescent="0.75">
      <c r="A915" s="91"/>
      <c r="B915" s="92"/>
      <c r="C915" s="92"/>
      <c r="D915" s="190"/>
      <c r="F915" s="91"/>
      <c r="G915" s="93"/>
      <c r="L915" s="92"/>
      <c r="R915" s="94"/>
    </row>
    <row r="916" spans="1:18" s="7" customFormat="1" ht="55.5" x14ac:dyDescent="0.75">
      <c r="A916" s="91"/>
      <c r="B916" s="92"/>
      <c r="C916" s="92"/>
      <c r="D916" s="190"/>
      <c r="F916" s="91"/>
      <c r="G916" s="93"/>
      <c r="L916" s="92"/>
      <c r="R916" s="94"/>
    </row>
    <row r="917" spans="1:18" s="7" customFormat="1" ht="55.5" x14ac:dyDescent="0.75">
      <c r="A917" s="91"/>
      <c r="B917" s="92"/>
      <c r="C917" s="92"/>
      <c r="D917" s="190"/>
      <c r="F917" s="91"/>
      <c r="G917" s="93"/>
      <c r="L917" s="92"/>
      <c r="R917" s="94"/>
    </row>
    <row r="918" spans="1:18" s="7" customFormat="1" ht="55.5" x14ac:dyDescent="0.75">
      <c r="A918" s="91"/>
      <c r="B918" s="92"/>
      <c r="C918" s="92"/>
      <c r="D918" s="190"/>
      <c r="F918" s="91"/>
      <c r="G918" s="93"/>
      <c r="L918" s="92"/>
      <c r="R918" s="94"/>
    </row>
    <row r="919" spans="1:18" s="7" customFormat="1" ht="55.5" x14ac:dyDescent="0.75">
      <c r="A919" s="91"/>
      <c r="B919" s="92"/>
      <c r="C919" s="92"/>
      <c r="D919" s="190"/>
      <c r="F919" s="91"/>
      <c r="G919" s="93"/>
      <c r="L919" s="92"/>
      <c r="R919" s="94"/>
    </row>
    <row r="920" spans="1:18" s="7" customFormat="1" ht="55.5" x14ac:dyDescent="0.75">
      <c r="A920" s="91"/>
      <c r="B920" s="92"/>
      <c r="C920" s="92"/>
      <c r="D920" s="190"/>
      <c r="F920" s="91"/>
      <c r="G920" s="93"/>
      <c r="L920" s="92"/>
      <c r="R920" s="94"/>
    </row>
    <row r="921" spans="1:18" s="7" customFormat="1" ht="55.5" x14ac:dyDescent="0.75">
      <c r="A921" s="91"/>
      <c r="B921" s="92"/>
      <c r="C921" s="92"/>
      <c r="D921" s="190"/>
      <c r="F921" s="91"/>
      <c r="G921" s="93"/>
      <c r="L921" s="92"/>
      <c r="R921" s="94"/>
    </row>
    <row r="922" spans="1:18" s="7" customFormat="1" ht="55.5" x14ac:dyDescent="0.75">
      <c r="A922" s="91"/>
      <c r="B922" s="92"/>
      <c r="C922" s="92"/>
      <c r="D922" s="190"/>
      <c r="F922" s="91"/>
      <c r="G922" s="93"/>
      <c r="L922" s="92"/>
      <c r="R922" s="94"/>
    </row>
    <row r="923" spans="1:18" s="7" customFormat="1" ht="55.5" x14ac:dyDescent="0.75">
      <c r="A923" s="91"/>
      <c r="B923" s="92"/>
      <c r="C923" s="92"/>
      <c r="D923" s="190"/>
      <c r="F923" s="91"/>
      <c r="G923" s="93"/>
      <c r="L923" s="92"/>
      <c r="R923" s="94"/>
    </row>
    <row r="924" spans="1:18" s="7" customFormat="1" ht="55.5" x14ac:dyDescent="0.75">
      <c r="A924" s="91"/>
      <c r="B924" s="92"/>
      <c r="C924" s="92"/>
      <c r="D924" s="190"/>
      <c r="F924" s="91"/>
      <c r="G924" s="93"/>
      <c r="L924" s="92"/>
      <c r="R924" s="94"/>
    </row>
    <row r="925" spans="1:18" s="7" customFormat="1" ht="55.5" x14ac:dyDescent="0.75">
      <c r="A925" s="91"/>
      <c r="B925" s="92"/>
      <c r="C925" s="92"/>
      <c r="D925" s="190"/>
      <c r="F925" s="91"/>
      <c r="G925" s="93"/>
      <c r="L925" s="92"/>
      <c r="R925" s="94"/>
    </row>
    <row r="926" spans="1:18" s="7" customFormat="1" ht="55.5" x14ac:dyDescent="0.75">
      <c r="A926" s="91"/>
      <c r="B926" s="92"/>
      <c r="C926" s="92"/>
      <c r="D926" s="190"/>
      <c r="F926" s="91"/>
      <c r="G926" s="93"/>
      <c r="L926" s="92"/>
      <c r="R926" s="94"/>
    </row>
    <row r="927" spans="1:18" s="7" customFormat="1" ht="55.5" x14ac:dyDescent="0.75">
      <c r="A927" s="91"/>
      <c r="B927" s="92"/>
      <c r="C927" s="92"/>
      <c r="D927" s="190"/>
      <c r="F927" s="91"/>
      <c r="G927" s="93"/>
      <c r="L927" s="92"/>
      <c r="R927" s="94"/>
    </row>
    <row r="928" spans="1:18" s="7" customFormat="1" ht="55.5" x14ac:dyDescent="0.75">
      <c r="A928" s="91"/>
      <c r="B928" s="92"/>
      <c r="C928" s="92"/>
      <c r="D928" s="190"/>
      <c r="F928" s="91"/>
      <c r="G928" s="93"/>
      <c r="L928" s="92"/>
      <c r="R928" s="94"/>
    </row>
    <row r="929" spans="1:18" s="7" customFormat="1" ht="55.5" x14ac:dyDescent="0.75">
      <c r="A929" s="91"/>
      <c r="B929" s="92"/>
      <c r="C929" s="92"/>
      <c r="D929" s="190"/>
      <c r="F929" s="91"/>
      <c r="G929" s="93"/>
      <c r="L929" s="92"/>
      <c r="R929" s="94"/>
    </row>
    <row r="930" spans="1:18" s="7" customFormat="1" ht="55.5" x14ac:dyDescent="0.75">
      <c r="A930" s="91"/>
      <c r="B930" s="92"/>
      <c r="C930" s="92"/>
      <c r="D930" s="190"/>
      <c r="F930" s="91"/>
      <c r="G930" s="93"/>
      <c r="L930" s="92"/>
      <c r="R930" s="94"/>
    </row>
    <row r="931" spans="1:18" s="7" customFormat="1" ht="55.5" x14ac:dyDescent="0.75">
      <c r="A931" s="91"/>
      <c r="B931" s="92"/>
      <c r="C931" s="92"/>
      <c r="D931" s="190"/>
      <c r="F931" s="91"/>
      <c r="G931" s="93"/>
      <c r="L931" s="92"/>
      <c r="R931" s="94"/>
    </row>
    <row r="932" spans="1:18" s="7" customFormat="1" ht="55.5" x14ac:dyDescent="0.75">
      <c r="A932" s="91"/>
      <c r="B932" s="92"/>
      <c r="C932" s="92"/>
      <c r="D932" s="190"/>
      <c r="F932" s="91"/>
      <c r="G932" s="93"/>
      <c r="L932" s="92"/>
      <c r="R932" s="94"/>
    </row>
    <row r="933" spans="1:18" s="7" customFormat="1" ht="55.5" x14ac:dyDescent="0.75">
      <c r="A933" s="91"/>
      <c r="B933" s="92"/>
      <c r="C933" s="92"/>
      <c r="D933" s="190"/>
      <c r="F933" s="91"/>
      <c r="G933" s="93"/>
      <c r="L933" s="92"/>
      <c r="R933" s="94"/>
    </row>
    <row r="934" spans="1:18" s="7" customFormat="1" ht="55.5" x14ac:dyDescent="0.75">
      <c r="A934" s="91"/>
      <c r="B934" s="92"/>
      <c r="C934" s="92"/>
      <c r="D934" s="190"/>
      <c r="F934" s="91"/>
      <c r="G934" s="93"/>
      <c r="L934" s="92"/>
      <c r="R934" s="94"/>
    </row>
    <row r="935" spans="1:18" s="7" customFormat="1" ht="55.5" x14ac:dyDescent="0.75">
      <c r="A935" s="91"/>
      <c r="B935" s="92"/>
      <c r="C935" s="92"/>
      <c r="D935" s="190"/>
      <c r="F935" s="91"/>
      <c r="G935" s="93"/>
      <c r="L935" s="92"/>
      <c r="R935" s="94"/>
    </row>
    <row r="936" spans="1:18" s="7" customFormat="1" ht="55.5" x14ac:dyDescent="0.75">
      <c r="A936" s="91"/>
      <c r="B936" s="92"/>
      <c r="C936" s="92"/>
      <c r="D936" s="190"/>
      <c r="F936" s="91"/>
      <c r="G936" s="93"/>
      <c r="L936" s="92"/>
      <c r="R936" s="94"/>
    </row>
    <row r="937" spans="1:18" s="7" customFormat="1" ht="55.5" x14ac:dyDescent="0.75">
      <c r="A937" s="91"/>
      <c r="B937" s="92"/>
      <c r="C937" s="92"/>
      <c r="D937" s="190"/>
      <c r="F937" s="91"/>
      <c r="G937" s="93"/>
      <c r="L937" s="92"/>
      <c r="R937" s="94"/>
    </row>
    <row r="938" spans="1:18" s="7" customFormat="1" ht="55.5" x14ac:dyDescent="0.75">
      <c r="A938" s="91"/>
      <c r="B938" s="92"/>
      <c r="C938" s="92"/>
      <c r="D938" s="190"/>
      <c r="F938" s="91"/>
      <c r="G938" s="93"/>
      <c r="L938" s="92"/>
      <c r="R938" s="94"/>
    </row>
    <row r="939" spans="1:18" s="7" customFormat="1" ht="55.5" x14ac:dyDescent="0.75">
      <c r="A939" s="91"/>
      <c r="B939" s="92"/>
      <c r="C939" s="92"/>
      <c r="D939" s="190"/>
      <c r="F939" s="91"/>
      <c r="G939" s="93"/>
      <c r="L939" s="92"/>
      <c r="R939" s="94"/>
    </row>
    <row r="940" spans="1:18" s="7" customFormat="1" ht="55.5" x14ac:dyDescent="0.75">
      <c r="A940" s="91"/>
      <c r="B940" s="92"/>
      <c r="C940" s="92"/>
      <c r="D940" s="190"/>
      <c r="F940" s="91"/>
      <c r="G940" s="93"/>
      <c r="L940" s="92"/>
      <c r="R940" s="94"/>
    </row>
    <row r="941" spans="1:18" s="7" customFormat="1" ht="55.5" x14ac:dyDescent="0.75">
      <c r="A941" s="91"/>
      <c r="B941" s="92"/>
      <c r="C941" s="92"/>
      <c r="D941" s="190"/>
      <c r="F941" s="91"/>
      <c r="G941" s="93"/>
      <c r="L941" s="92"/>
      <c r="R941" s="94"/>
    </row>
    <row r="942" spans="1:18" s="7" customFormat="1" ht="55.5" x14ac:dyDescent="0.75">
      <c r="A942" s="91"/>
      <c r="B942" s="92"/>
      <c r="C942" s="92"/>
      <c r="D942" s="190"/>
      <c r="F942" s="91"/>
      <c r="G942" s="93"/>
      <c r="L942" s="92"/>
      <c r="R942" s="94"/>
    </row>
    <row r="943" spans="1:18" s="7" customFormat="1" ht="55.5" x14ac:dyDescent="0.75">
      <c r="A943" s="91"/>
      <c r="B943" s="92"/>
      <c r="C943" s="92"/>
      <c r="D943" s="190"/>
      <c r="F943" s="91"/>
      <c r="G943" s="93"/>
      <c r="L943" s="92"/>
      <c r="R943" s="94"/>
    </row>
    <row r="944" spans="1:18" s="7" customFormat="1" ht="55.5" x14ac:dyDescent="0.75">
      <c r="A944" s="91"/>
      <c r="B944" s="92"/>
      <c r="C944" s="92"/>
      <c r="D944" s="190"/>
      <c r="F944" s="91"/>
      <c r="G944" s="93"/>
      <c r="L944" s="92"/>
      <c r="R944" s="94"/>
    </row>
    <row r="945" spans="1:18" s="7" customFormat="1" ht="55.5" x14ac:dyDescent="0.75">
      <c r="A945" s="91"/>
      <c r="B945" s="92"/>
      <c r="C945" s="92"/>
      <c r="D945" s="190"/>
      <c r="F945" s="91"/>
      <c r="G945" s="93"/>
      <c r="L945" s="92"/>
      <c r="R945" s="94"/>
    </row>
    <row r="946" spans="1:18" s="7" customFormat="1" ht="55.5" x14ac:dyDescent="0.75">
      <c r="A946" s="91"/>
      <c r="B946" s="92"/>
      <c r="C946" s="92"/>
      <c r="D946" s="190"/>
      <c r="F946" s="91"/>
      <c r="G946" s="93"/>
      <c r="L946" s="92"/>
      <c r="R946" s="94"/>
    </row>
    <row r="947" spans="1:18" s="7" customFormat="1" ht="55.5" x14ac:dyDescent="0.75">
      <c r="A947" s="91"/>
      <c r="B947" s="92"/>
      <c r="C947" s="92"/>
      <c r="D947" s="190"/>
      <c r="F947" s="91"/>
      <c r="G947" s="93"/>
      <c r="L947" s="92"/>
      <c r="R947" s="94"/>
    </row>
    <row r="948" spans="1:18" s="7" customFormat="1" ht="55.5" x14ac:dyDescent="0.75">
      <c r="A948" s="91"/>
      <c r="B948" s="92"/>
      <c r="C948" s="92"/>
      <c r="D948" s="190"/>
      <c r="F948" s="91"/>
      <c r="G948" s="93"/>
      <c r="L948" s="92"/>
      <c r="R948" s="94"/>
    </row>
    <row r="949" spans="1:18" s="7" customFormat="1" ht="55.5" x14ac:dyDescent="0.75">
      <c r="A949" s="91"/>
      <c r="B949" s="92"/>
      <c r="C949" s="92"/>
      <c r="D949" s="190"/>
      <c r="F949" s="91"/>
      <c r="G949" s="93"/>
      <c r="L949" s="92"/>
      <c r="R949" s="94"/>
    </row>
    <row r="950" spans="1:18" s="7" customFormat="1" ht="55.5" x14ac:dyDescent="0.75">
      <c r="A950" s="91"/>
      <c r="B950" s="92"/>
      <c r="C950" s="92"/>
      <c r="D950" s="190"/>
      <c r="F950" s="91"/>
      <c r="G950" s="93"/>
      <c r="L950" s="92"/>
      <c r="R950" s="94"/>
    </row>
    <row r="951" spans="1:18" s="7" customFormat="1" ht="55.5" x14ac:dyDescent="0.75">
      <c r="A951" s="91"/>
      <c r="B951" s="92"/>
      <c r="C951" s="92"/>
      <c r="D951" s="190"/>
      <c r="F951" s="91"/>
      <c r="G951" s="93"/>
      <c r="L951" s="92"/>
      <c r="R951" s="94"/>
    </row>
    <row r="952" spans="1:18" s="7" customFormat="1" ht="55.5" x14ac:dyDescent="0.75">
      <c r="A952" s="91"/>
      <c r="B952" s="92"/>
      <c r="C952" s="92"/>
      <c r="D952" s="190"/>
      <c r="F952" s="91"/>
      <c r="G952" s="93"/>
      <c r="L952" s="92"/>
      <c r="R952" s="94"/>
    </row>
    <row r="953" spans="1:18" s="7" customFormat="1" ht="55.5" x14ac:dyDescent="0.75">
      <c r="A953" s="91"/>
      <c r="B953" s="92"/>
      <c r="C953" s="92"/>
      <c r="D953" s="190"/>
      <c r="F953" s="91"/>
      <c r="G953" s="93"/>
      <c r="L953" s="92"/>
      <c r="R953" s="94"/>
    </row>
    <row r="954" spans="1:18" s="7" customFormat="1" ht="55.5" x14ac:dyDescent="0.75">
      <c r="A954" s="91"/>
      <c r="B954" s="92"/>
      <c r="C954" s="92"/>
      <c r="D954" s="190"/>
      <c r="F954" s="91"/>
      <c r="G954" s="93"/>
      <c r="L954" s="92"/>
      <c r="R954" s="94"/>
    </row>
    <row r="955" spans="1:18" s="7" customFormat="1" ht="55.5" x14ac:dyDescent="0.75">
      <c r="A955" s="91"/>
      <c r="B955" s="92"/>
      <c r="C955" s="92"/>
      <c r="D955" s="190"/>
      <c r="F955" s="91"/>
      <c r="G955" s="93"/>
      <c r="L955" s="92"/>
      <c r="R955" s="94"/>
    </row>
    <row r="956" spans="1:18" s="7" customFormat="1" ht="55.5" x14ac:dyDescent="0.75">
      <c r="A956" s="91"/>
      <c r="B956" s="92"/>
      <c r="C956" s="92"/>
      <c r="D956" s="190"/>
      <c r="F956" s="91"/>
      <c r="G956" s="93"/>
      <c r="L956" s="92"/>
      <c r="R956" s="94"/>
    </row>
    <row r="957" spans="1:18" s="7" customFormat="1" ht="55.5" x14ac:dyDescent="0.75">
      <c r="A957" s="91"/>
      <c r="B957" s="92"/>
      <c r="C957" s="92"/>
      <c r="D957" s="190"/>
      <c r="F957" s="91"/>
      <c r="G957" s="93"/>
      <c r="L957" s="92"/>
      <c r="R957" s="94"/>
    </row>
    <row r="958" spans="1:18" s="7" customFormat="1" ht="55.5" x14ac:dyDescent="0.75">
      <c r="A958" s="91"/>
      <c r="B958" s="92"/>
      <c r="C958" s="92"/>
      <c r="D958" s="190"/>
      <c r="F958" s="91"/>
      <c r="G958" s="93"/>
      <c r="L958" s="92"/>
      <c r="R958" s="94"/>
    </row>
    <row r="959" spans="1:18" s="7" customFormat="1" ht="55.5" x14ac:dyDescent="0.75">
      <c r="A959" s="91"/>
      <c r="B959" s="92"/>
      <c r="C959" s="92"/>
      <c r="D959" s="190"/>
      <c r="F959" s="91"/>
      <c r="G959" s="93"/>
      <c r="L959" s="92"/>
      <c r="R959" s="94"/>
    </row>
    <row r="960" spans="1:18" s="7" customFormat="1" ht="55.5" x14ac:dyDescent="0.75">
      <c r="A960" s="91"/>
      <c r="B960" s="92"/>
      <c r="C960" s="92"/>
      <c r="D960" s="190"/>
      <c r="F960" s="91"/>
      <c r="G960" s="93"/>
      <c r="L960" s="92"/>
      <c r="R960" s="94"/>
    </row>
    <row r="961" spans="1:18" s="7" customFormat="1" ht="55.5" x14ac:dyDescent="0.75">
      <c r="A961" s="91"/>
      <c r="B961" s="92"/>
      <c r="C961" s="92"/>
      <c r="D961" s="190"/>
      <c r="F961" s="91"/>
      <c r="G961" s="93"/>
      <c r="L961" s="92"/>
      <c r="R961" s="94"/>
    </row>
    <row r="962" spans="1:18" s="7" customFormat="1" ht="55.5" x14ac:dyDescent="0.75">
      <c r="A962" s="91"/>
      <c r="B962" s="92"/>
      <c r="C962" s="92"/>
      <c r="D962" s="190"/>
      <c r="F962" s="91"/>
      <c r="G962" s="93"/>
      <c r="L962" s="92"/>
      <c r="R962" s="94"/>
    </row>
    <row r="963" spans="1:18" s="7" customFormat="1" ht="55.5" x14ac:dyDescent="0.75">
      <c r="A963" s="91"/>
      <c r="B963" s="92"/>
      <c r="C963" s="92"/>
      <c r="D963" s="190"/>
      <c r="F963" s="91"/>
      <c r="G963" s="93"/>
      <c r="L963" s="92"/>
      <c r="R963" s="94"/>
    </row>
    <row r="964" spans="1:18" s="7" customFormat="1" ht="55.5" x14ac:dyDescent="0.75">
      <c r="A964" s="91"/>
      <c r="B964" s="92"/>
      <c r="C964" s="92"/>
      <c r="D964" s="190"/>
      <c r="F964" s="91"/>
      <c r="G964" s="93"/>
      <c r="L964" s="92"/>
      <c r="R964" s="94"/>
    </row>
    <row r="965" spans="1:18" s="7" customFormat="1" ht="55.5" x14ac:dyDescent="0.75">
      <c r="A965" s="91"/>
      <c r="B965" s="92"/>
      <c r="C965" s="92"/>
      <c r="D965" s="190"/>
      <c r="F965" s="91"/>
      <c r="G965" s="93"/>
      <c r="L965" s="92"/>
      <c r="R965" s="94"/>
    </row>
    <row r="966" spans="1:18" s="7" customFormat="1" ht="55.5" x14ac:dyDescent="0.75">
      <c r="A966" s="91"/>
      <c r="B966" s="92"/>
      <c r="C966" s="92"/>
      <c r="D966" s="190"/>
      <c r="F966" s="91"/>
      <c r="G966" s="93"/>
      <c r="L966" s="92"/>
      <c r="R966" s="94"/>
    </row>
    <row r="967" spans="1:18" s="7" customFormat="1" ht="55.5" x14ac:dyDescent="0.75">
      <c r="A967" s="91"/>
      <c r="B967" s="92"/>
      <c r="C967" s="92"/>
      <c r="D967" s="190"/>
      <c r="F967" s="91"/>
      <c r="G967" s="93"/>
      <c r="L967" s="92"/>
      <c r="R967" s="94"/>
    </row>
    <row r="968" spans="1:18" s="7" customFormat="1" ht="55.5" x14ac:dyDescent="0.75">
      <c r="A968" s="91"/>
      <c r="B968" s="92"/>
      <c r="C968" s="92"/>
      <c r="D968" s="190"/>
      <c r="F968" s="91"/>
      <c r="G968" s="93"/>
      <c r="L968" s="92"/>
      <c r="R968" s="94"/>
    </row>
    <row r="969" spans="1:18" s="7" customFormat="1" ht="55.5" x14ac:dyDescent="0.75">
      <c r="A969" s="91"/>
      <c r="B969" s="92"/>
      <c r="C969" s="92"/>
      <c r="D969" s="190"/>
      <c r="F969" s="91"/>
      <c r="G969" s="93"/>
      <c r="L969" s="92"/>
      <c r="R969" s="94"/>
    </row>
    <row r="970" spans="1:18" s="7" customFormat="1" ht="55.5" x14ac:dyDescent="0.75">
      <c r="A970" s="91"/>
      <c r="B970" s="92"/>
      <c r="C970" s="92"/>
      <c r="D970" s="190"/>
      <c r="F970" s="91"/>
      <c r="G970" s="93"/>
      <c r="L970" s="92"/>
      <c r="R970" s="94"/>
    </row>
    <row r="971" spans="1:18" s="7" customFormat="1" ht="55.5" x14ac:dyDescent="0.75">
      <c r="A971" s="91"/>
      <c r="B971" s="92"/>
      <c r="C971" s="92"/>
      <c r="D971" s="190"/>
      <c r="F971" s="91"/>
      <c r="G971" s="93"/>
      <c r="L971" s="92"/>
      <c r="R971" s="94"/>
    </row>
    <row r="972" spans="1:18" s="7" customFormat="1" ht="55.5" x14ac:dyDescent="0.75">
      <c r="A972" s="91"/>
      <c r="B972" s="92"/>
      <c r="C972" s="92"/>
      <c r="D972" s="190"/>
      <c r="F972" s="91"/>
      <c r="G972" s="93"/>
      <c r="L972" s="92"/>
      <c r="R972" s="94"/>
    </row>
    <row r="973" spans="1:18" s="7" customFormat="1" ht="55.5" x14ac:dyDescent="0.75">
      <c r="A973" s="91"/>
      <c r="B973" s="92"/>
      <c r="C973" s="92"/>
      <c r="D973" s="190"/>
      <c r="F973" s="91"/>
      <c r="G973" s="93"/>
      <c r="L973" s="92"/>
      <c r="R973" s="94"/>
    </row>
    <row r="974" spans="1:18" s="7" customFormat="1" ht="55.5" x14ac:dyDescent="0.75">
      <c r="A974" s="91"/>
      <c r="B974" s="92"/>
      <c r="C974" s="92"/>
      <c r="D974" s="190"/>
      <c r="F974" s="91"/>
      <c r="G974" s="93"/>
      <c r="L974" s="92"/>
      <c r="R974" s="94"/>
    </row>
    <row r="975" spans="1:18" s="7" customFormat="1" ht="55.5" x14ac:dyDescent="0.75">
      <c r="A975" s="91"/>
      <c r="B975" s="92"/>
      <c r="C975" s="92"/>
      <c r="D975" s="190"/>
      <c r="F975" s="91"/>
      <c r="G975" s="93"/>
      <c r="L975" s="92"/>
      <c r="R975" s="94"/>
    </row>
    <row r="976" spans="1:18" s="7" customFormat="1" ht="55.5" x14ac:dyDescent="0.75">
      <c r="A976" s="91"/>
      <c r="B976" s="92"/>
      <c r="C976" s="92"/>
      <c r="D976" s="190"/>
      <c r="F976" s="91"/>
      <c r="G976" s="93"/>
      <c r="L976" s="92"/>
      <c r="R976" s="94"/>
    </row>
    <row r="977" spans="1:18" s="7" customFormat="1" ht="55.5" x14ac:dyDescent="0.75">
      <c r="A977" s="91"/>
      <c r="B977" s="92"/>
      <c r="C977" s="92"/>
      <c r="D977" s="190"/>
      <c r="F977" s="91"/>
      <c r="G977" s="93"/>
      <c r="L977" s="92"/>
      <c r="R977" s="94"/>
    </row>
    <row r="978" spans="1:18" s="7" customFormat="1" ht="55.5" x14ac:dyDescent="0.75">
      <c r="A978" s="91"/>
      <c r="B978" s="92"/>
      <c r="C978" s="92"/>
      <c r="D978" s="190"/>
      <c r="F978" s="91"/>
      <c r="G978" s="93"/>
      <c r="L978" s="92"/>
      <c r="R978" s="94"/>
    </row>
    <row r="979" spans="1:18" s="7" customFormat="1" ht="55.5" x14ac:dyDescent="0.75">
      <c r="A979" s="91"/>
      <c r="B979" s="92"/>
      <c r="C979" s="92"/>
      <c r="D979" s="190"/>
      <c r="F979" s="91"/>
      <c r="G979" s="93"/>
      <c r="L979" s="92"/>
      <c r="R979" s="94"/>
    </row>
    <row r="980" spans="1:18" s="7" customFormat="1" ht="55.5" x14ac:dyDescent="0.75">
      <c r="A980" s="91"/>
      <c r="B980" s="92"/>
      <c r="C980" s="92"/>
      <c r="D980" s="190"/>
      <c r="F980" s="91"/>
      <c r="G980" s="93"/>
      <c r="L980" s="92"/>
      <c r="R980" s="94"/>
    </row>
    <row r="981" spans="1:18" s="7" customFormat="1" ht="55.5" x14ac:dyDescent="0.75">
      <c r="A981" s="91"/>
      <c r="B981" s="92"/>
      <c r="C981" s="92"/>
      <c r="D981" s="190"/>
      <c r="F981" s="91"/>
      <c r="G981" s="93"/>
      <c r="L981" s="92"/>
      <c r="R981" s="94"/>
    </row>
    <row r="982" spans="1:18" s="7" customFormat="1" ht="55.5" x14ac:dyDescent="0.75">
      <c r="A982" s="91"/>
      <c r="B982" s="92"/>
      <c r="C982" s="92"/>
      <c r="D982" s="190"/>
      <c r="F982" s="91"/>
      <c r="G982" s="93"/>
      <c r="L982" s="92"/>
      <c r="R982" s="94"/>
    </row>
    <row r="983" spans="1:18" s="7" customFormat="1" ht="55.5" x14ac:dyDescent="0.75">
      <c r="A983" s="91"/>
      <c r="B983" s="92"/>
      <c r="C983" s="92"/>
      <c r="D983" s="190"/>
      <c r="F983" s="91"/>
      <c r="G983" s="93"/>
      <c r="L983" s="92"/>
      <c r="R983" s="94"/>
    </row>
    <row r="984" spans="1:18" s="7" customFormat="1" ht="55.5" x14ac:dyDescent="0.75">
      <c r="A984" s="91"/>
      <c r="B984" s="92"/>
      <c r="C984" s="92"/>
      <c r="D984" s="190"/>
      <c r="F984" s="91"/>
      <c r="G984" s="93"/>
      <c r="L984" s="92"/>
      <c r="R984" s="94"/>
    </row>
    <row r="985" spans="1:18" s="7" customFormat="1" ht="55.5" x14ac:dyDescent="0.75">
      <c r="A985" s="91"/>
      <c r="B985" s="92"/>
      <c r="C985" s="92"/>
      <c r="D985" s="190"/>
      <c r="F985" s="91"/>
      <c r="G985" s="93"/>
      <c r="L985" s="92"/>
      <c r="R985" s="94"/>
    </row>
    <row r="986" spans="1:18" s="7" customFormat="1" ht="55.5" x14ac:dyDescent="0.75">
      <c r="A986" s="91"/>
      <c r="B986" s="92"/>
      <c r="C986" s="92"/>
      <c r="D986" s="190"/>
      <c r="F986" s="91"/>
      <c r="G986" s="93"/>
      <c r="L986" s="92"/>
      <c r="R986" s="94"/>
    </row>
    <row r="987" spans="1:18" s="7" customFormat="1" ht="55.5" x14ac:dyDescent="0.75">
      <c r="A987" s="91"/>
      <c r="B987" s="92"/>
      <c r="C987" s="92"/>
      <c r="D987" s="190"/>
      <c r="F987" s="91"/>
      <c r="G987" s="93"/>
      <c r="L987" s="92"/>
      <c r="R987" s="94"/>
    </row>
    <row r="988" spans="1:18" s="7" customFormat="1" ht="55.5" x14ac:dyDescent="0.75">
      <c r="A988" s="91"/>
      <c r="B988" s="92"/>
      <c r="C988" s="92"/>
      <c r="D988" s="190"/>
      <c r="F988" s="91"/>
      <c r="G988" s="93"/>
      <c r="L988" s="92"/>
      <c r="R988" s="94"/>
    </row>
    <row r="989" spans="1:18" s="7" customFormat="1" ht="55.5" x14ac:dyDescent="0.75">
      <c r="A989" s="91"/>
      <c r="B989" s="92"/>
      <c r="C989" s="92"/>
      <c r="D989" s="190"/>
      <c r="F989" s="91"/>
      <c r="G989" s="93"/>
      <c r="L989" s="92"/>
      <c r="R989" s="94"/>
    </row>
    <row r="990" spans="1:18" s="7" customFormat="1" ht="55.5" x14ac:dyDescent="0.75">
      <c r="A990" s="91"/>
      <c r="B990" s="92"/>
      <c r="C990" s="92"/>
      <c r="D990" s="190"/>
      <c r="F990" s="91"/>
      <c r="G990" s="93"/>
      <c r="L990" s="92"/>
      <c r="R990" s="94"/>
    </row>
    <row r="991" spans="1:18" s="7" customFormat="1" ht="55.5" x14ac:dyDescent="0.75">
      <c r="A991" s="91"/>
      <c r="B991" s="92"/>
      <c r="C991" s="92"/>
      <c r="D991" s="190"/>
      <c r="F991" s="91"/>
      <c r="G991" s="93"/>
      <c r="L991" s="92"/>
      <c r="R991" s="94"/>
    </row>
    <row r="992" spans="1:18" s="7" customFormat="1" ht="55.5" x14ac:dyDescent="0.75">
      <c r="A992" s="91"/>
      <c r="B992" s="92"/>
      <c r="C992" s="92"/>
      <c r="D992" s="190"/>
      <c r="F992" s="91"/>
      <c r="G992" s="93"/>
      <c r="L992" s="92"/>
      <c r="R992" s="94"/>
    </row>
    <row r="993" spans="1:18" s="7" customFormat="1" ht="55.5" x14ac:dyDescent="0.75">
      <c r="A993" s="91"/>
      <c r="B993" s="92"/>
      <c r="C993" s="92"/>
      <c r="D993" s="190"/>
      <c r="F993" s="91"/>
      <c r="G993" s="93"/>
      <c r="L993" s="92"/>
      <c r="R993" s="94"/>
    </row>
    <row r="994" spans="1:18" s="7" customFormat="1" ht="55.5" x14ac:dyDescent="0.75">
      <c r="A994" s="91"/>
      <c r="B994" s="92"/>
      <c r="C994" s="92"/>
      <c r="D994" s="190"/>
      <c r="F994" s="91"/>
      <c r="G994" s="93"/>
      <c r="L994" s="92"/>
      <c r="R994" s="94"/>
    </row>
    <row r="995" spans="1:18" s="7" customFormat="1" ht="55.5" x14ac:dyDescent="0.75">
      <c r="A995" s="91"/>
      <c r="B995" s="92"/>
      <c r="C995" s="92"/>
      <c r="D995" s="190"/>
      <c r="F995" s="91"/>
      <c r="G995" s="93"/>
      <c r="L995" s="92"/>
      <c r="R995" s="94"/>
    </row>
    <row r="996" spans="1:18" s="7" customFormat="1" ht="55.5" x14ac:dyDescent="0.75">
      <c r="A996" s="91"/>
      <c r="B996" s="92"/>
      <c r="C996" s="92"/>
      <c r="D996" s="190"/>
      <c r="F996" s="91"/>
      <c r="G996" s="93"/>
      <c r="L996" s="92"/>
      <c r="R996" s="94"/>
    </row>
    <row r="997" spans="1:18" s="7" customFormat="1" ht="55.5" x14ac:dyDescent="0.75">
      <c r="A997" s="91"/>
      <c r="B997" s="92"/>
      <c r="C997" s="92"/>
      <c r="D997" s="190"/>
      <c r="F997" s="91"/>
      <c r="G997" s="93"/>
      <c r="L997" s="92"/>
      <c r="R997" s="94"/>
    </row>
    <row r="998" spans="1:18" s="7" customFormat="1" ht="55.5" x14ac:dyDescent="0.75">
      <c r="A998" s="91"/>
      <c r="B998" s="92"/>
      <c r="C998" s="92"/>
      <c r="D998" s="190"/>
      <c r="F998" s="91"/>
      <c r="G998" s="93"/>
      <c r="L998" s="92"/>
      <c r="R998" s="94"/>
    </row>
    <row r="999" spans="1:18" s="7" customFormat="1" ht="55.5" x14ac:dyDescent="0.75">
      <c r="A999" s="91"/>
      <c r="B999" s="92"/>
      <c r="C999" s="92"/>
      <c r="D999" s="190"/>
      <c r="F999" s="91"/>
      <c r="G999" s="93"/>
      <c r="L999" s="92"/>
      <c r="R999" s="94"/>
    </row>
    <row r="1000" spans="1:18" s="7" customFormat="1" ht="55.5" x14ac:dyDescent="0.75">
      <c r="A1000" s="91"/>
      <c r="B1000" s="92"/>
      <c r="C1000" s="92"/>
      <c r="D1000" s="190"/>
      <c r="F1000" s="91"/>
      <c r="G1000" s="93"/>
      <c r="L1000" s="92"/>
      <c r="R1000" s="94"/>
    </row>
    <row r="1001" spans="1:18" s="7" customFormat="1" ht="55.5" x14ac:dyDescent="0.75">
      <c r="A1001" s="91"/>
      <c r="B1001" s="92"/>
      <c r="C1001" s="92"/>
      <c r="D1001" s="190"/>
      <c r="F1001" s="91"/>
      <c r="G1001" s="93"/>
      <c r="L1001" s="92"/>
      <c r="R1001" s="94"/>
    </row>
    <row r="1002" spans="1:18" s="7" customFormat="1" ht="55.5" x14ac:dyDescent="0.75">
      <c r="A1002" s="91"/>
      <c r="B1002" s="92"/>
      <c r="C1002" s="92"/>
      <c r="D1002" s="190"/>
      <c r="F1002" s="91"/>
      <c r="G1002" s="93"/>
      <c r="L1002" s="92"/>
      <c r="R1002" s="94"/>
    </row>
    <row r="1003" spans="1:18" s="7" customFormat="1" ht="55.5" x14ac:dyDescent="0.75">
      <c r="A1003" s="91"/>
      <c r="B1003" s="92"/>
      <c r="C1003" s="92"/>
      <c r="D1003" s="190"/>
      <c r="F1003" s="91"/>
      <c r="G1003" s="93"/>
      <c r="L1003" s="92"/>
      <c r="R1003" s="94"/>
    </row>
    <row r="1004" spans="1:18" s="7" customFormat="1" ht="55.5" x14ac:dyDescent="0.75">
      <c r="A1004" s="91"/>
      <c r="B1004" s="92"/>
      <c r="C1004" s="92"/>
      <c r="D1004" s="190"/>
      <c r="F1004" s="91"/>
      <c r="G1004" s="93"/>
      <c r="L1004" s="92"/>
      <c r="R1004" s="94"/>
    </row>
    <row r="1005" spans="1:18" s="7" customFormat="1" ht="55.5" x14ac:dyDescent="0.75">
      <c r="A1005" s="91"/>
      <c r="B1005" s="92"/>
      <c r="C1005" s="92"/>
      <c r="D1005" s="190"/>
      <c r="F1005" s="91"/>
      <c r="G1005" s="93"/>
      <c r="L1005" s="92"/>
      <c r="R1005" s="94"/>
    </row>
    <row r="1006" spans="1:18" s="7" customFormat="1" ht="55.5" x14ac:dyDescent="0.75">
      <c r="A1006" s="91"/>
      <c r="B1006" s="92"/>
      <c r="C1006" s="92"/>
      <c r="D1006" s="190"/>
      <c r="F1006" s="91"/>
      <c r="G1006" s="93"/>
      <c r="L1006" s="92"/>
      <c r="R1006" s="94"/>
    </row>
    <row r="1007" spans="1:18" s="7" customFormat="1" ht="55.5" x14ac:dyDescent="0.75">
      <c r="A1007" s="91"/>
      <c r="B1007" s="92"/>
      <c r="C1007" s="92"/>
      <c r="D1007" s="190"/>
      <c r="F1007" s="91"/>
      <c r="G1007" s="93"/>
      <c r="L1007" s="92"/>
      <c r="R1007" s="94"/>
    </row>
    <row r="1008" spans="1:18" s="7" customFormat="1" ht="55.5" x14ac:dyDescent="0.75">
      <c r="A1008" s="91"/>
      <c r="B1008" s="92"/>
      <c r="C1008" s="92"/>
      <c r="D1008" s="190"/>
      <c r="F1008" s="91"/>
      <c r="G1008" s="93"/>
      <c r="L1008" s="92"/>
      <c r="R1008" s="94"/>
    </row>
    <row r="1009" spans="1:18" s="7" customFormat="1" ht="55.5" x14ac:dyDescent="0.75">
      <c r="A1009" s="91"/>
      <c r="B1009" s="92"/>
      <c r="C1009" s="92"/>
      <c r="D1009" s="190"/>
      <c r="F1009" s="91"/>
      <c r="G1009" s="93"/>
      <c r="L1009" s="92"/>
      <c r="R1009" s="94"/>
    </row>
    <row r="1010" spans="1:18" s="7" customFormat="1" ht="55.5" x14ac:dyDescent="0.75">
      <c r="A1010" s="91"/>
      <c r="B1010" s="92"/>
      <c r="C1010" s="92"/>
      <c r="D1010" s="190"/>
      <c r="F1010" s="91"/>
      <c r="G1010" s="93"/>
      <c r="L1010" s="92"/>
      <c r="R1010" s="94"/>
    </row>
    <row r="1011" spans="1:18" s="7" customFormat="1" ht="55.5" x14ac:dyDescent="0.75">
      <c r="A1011" s="91"/>
      <c r="B1011" s="92"/>
      <c r="C1011" s="92"/>
      <c r="D1011" s="190"/>
      <c r="F1011" s="91"/>
      <c r="G1011" s="93"/>
      <c r="L1011" s="92"/>
      <c r="R1011" s="94"/>
    </row>
    <row r="1012" spans="1:18" s="7" customFormat="1" ht="55.5" x14ac:dyDescent="0.75">
      <c r="A1012" s="91"/>
      <c r="B1012" s="92"/>
      <c r="C1012" s="92"/>
      <c r="D1012" s="190"/>
      <c r="F1012" s="91"/>
      <c r="G1012" s="93"/>
      <c r="L1012" s="92"/>
      <c r="R1012" s="94"/>
    </row>
    <row r="1013" spans="1:18" s="7" customFormat="1" ht="55.5" x14ac:dyDescent="0.75">
      <c r="A1013" s="91"/>
      <c r="B1013" s="92"/>
      <c r="C1013" s="92"/>
      <c r="D1013" s="190"/>
      <c r="F1013" s="91"/>
      <c r="G1013" s="93"/>
      <c r="L1013" s="92"/>
      <c r="R1013" s="94"/>
    </row>
    <row r="1014" spans="1:18" s="7" customFormat="1" ht="55.5" x14ac:dyDescent="0.75">
      <c r="A1014" s="91"/>
      <c r="B1014" s="92"/>
      <c r="C1014" s="92"/>
      <c r="D1014" s="190"/>
      <c r="F1014" s="91"/>
      <c r="G1014" s="93"/>
      <c r="L1014" s="92"/>
      <c r="R1014" s="94"/>
    </row>
    <row r="1015" spans="1:18" s="7" customFormat="1" ht="55.5" x14ac:dyDescent="0.75">
      <c r="A1015" s="91"/>
      <c r="B1015" s="92"/>
      <c r="C1015" s="92"/>
      <c r="D1015" s="190"/>
      <c r="F1015" s="91"/>
      <c r="G1015" s="93"/>
      <c r="L1015" s="92"/>
      <c r="R1015" s="94"/>
    </row>
    <row r="1016" spans="1:18" s="7" customFormat="1" ht="55.5" x14ac:dyDescent="0.75">
      <c r="A1016" s="91"/>
      <c r="B1016" s="92"/>
      <c r="C1016" s="92"/>
      <c r="D1016" s="190"/>
      <c r="F1016" s="91"/>
      <c r="G1016" s="93"/>
      <c r="L1016" s="92"/>
      <c r="R1016" s="94"/>
    </row>
    <row r="1017" spans="1:18" s="7" customFormat="1" ht="55.5" x14ac:dyDescent="0.75">
      <c r="A1017" s="91"/>
      <c r="B1017" s="92"/>
      <c r="C1017" s="92"/>
      <c r="D1017" s="190"/>
      <c r="F1017" s="91"/>
      <c r="G1017" s="93"/>
      <c r="L1017" s="92"/>
      <c r="R1017" s="94"/>
    </row>
    <row r="1018" spans="1:18" s="7" customFormat="1" ht="55.5" x14ac:dyDescent="0.75">
      <c r="A1018" s="91"/>
      <c r="B1018" s="92"/>
      <c r="C1018" s="92"/>
      <c r="D1018" s="190"/>
      <c r="F1018" s="91"/>
      <c r="G1018" s="93"/>
      <c r="L1018" s="92"/>
      <c r="R1018" s="94"/>
    </row>
    <row r="1019" spans="1:18" s="7" customFormat="1" ht="55.5" x14ac:dyDescent="0.75">
      <c r="A1019" s="91"/>
      <c r="B1019" s="92"/>
      <c r="C1019" s="92"/>
      <c r="D1019" s="190"/>
      <c r="F1019" s="91"/>
      <c r="G1019" s="93"/>
      <c r="L1019" s="92"/>
      <c r="R1019" s="94"/>
    </row>
    <row r="1020" spans="1:18" s="7" customFormat="1" ht="55.5" x14ac:dyDescent="0.75">
      <c r="A1020" s="91"/>
      <c r="B1020" s="92"/>
      <c r="C1020" s="92"/>
      <c r="D1020" s="190"/>
      <c r="F1020" s="91"/>
      <c r="G1020" s="93"/>
      <c r="L1020" s="92"/>
      <c r="R1020" s="94"/>
    </row>
    <row r="1021" spans="1:18" s="7" customFormat="1" ht="55.5" x14ac:dyDescent="0.75">
      <c r="A1021" s="91"/>
      <c r="B1021" s="92"/>
      <c r="C1021" s="92"/>
      <c r="D1021" s="190"/>
      <c r="F1021" s="91"/>
      <c r="G1021" s="93"/>
      <c r="L1021" s="92"/>
      <c r="R1021" s="94"/>
    </row>
    <row r="1022" spans="1:18" s="7" customFormat="1" ht="55.5" x14ac:dyDescent="0.75">
      <c r="A1022" s="91"/>
      <c r="B1022" s="92"/>
      <c r="C1022" s="92"/>
      <c r="D1022" s="190"/>
      <c r="F1022" s="91"/>
      <c r="G1022" s="93"/>
      <c r="L1022" s="92"/>
      <c r="R1022" s="94"/>
    </row>
    <row r="1023" spans="1:18" s="7" customFormat="1" ht="55.5" x14ac:dyDescent="0.75">
      <c r="A1023" s="91"/>
      <c r="B1023" s="92"/>
      <c r="C1023" s="92"/>
      <c r="D1023" s="190"/>
      <c r="F1023" s="91"/>
      <c r="G1023" s="93"/>
      <c r="L1023" s="92"/>
      <c r="R1023" s="94"/>
    </row>
    <row r="1024" spans="1:18" s="7" customFormat="1" ht="55.5" x14ac:dyDescent="0.75">
      <c r="A1024" s="91"/>
      <c r="B1024" s="92"/>
      <c r="C1024" s="92"/>
      <c r="D1024" s="190"/>
      <c r="F1024" s="91"/>
      <c r="G1024" s="93"/>
      <c r="L1024" s="92"/>
      <c r="R1024" s="94"/>
    </row>
    <row r="1025" spans="1:18" s="7" customFormat="1" ht="55.5" x14ac:dyDescent="0.75">
      <c r="A1025" s="91"/>
      <c r="B1025" s="92"/>
      <c r="C1025" s="92"/>
      <c r="D1025" s="190"/>
      <c r="F1025" s="91"/>
      <c r="G1025" s="93"/>
      <c r="L1025" s="92"/>
      <c r="R1025" s="94"/>
    </row>
    <row r="1026" spans="1:18" s="7" customFormat="1" ht="55.5" x14ac:dyDescent="0.75">
      <c r="A1026" s="91"/>
      <c r="B1026" s="92"/>
      <c r="C1026" s="92"/>
      <c r="D1026" s="190"/>
      <c r="F1026" s="91"/>
      <c r="G1026" s="93"/>
      <c r="L1026" s="92"/>
      <c r="R1026" s="94"/>
    </row>
    <row r="1027" spans="1:18" s="7" customFormat="1" ht="55.5" x14ac:dyDescent="0.75">
      <c r="A1027" s="91"/>
      <c r="B1027" s="92"/>
      <c r="C1027" s="92"/>
      <c r="D1027" s="190"/>
      <c r="F1027" s="91"/>
      <c r="G1027" s="93"/>
      <c r="L1027" s="92"/>
      <c r="R1027" s="94"/>
    </row>
    <row r="1028" spans="1:18" s="7" customFormat="1" ht="55.5" x14ac:dyDescent="0.75">
      <c r="A1028" s="91"/>
      <c r="B1028" s="92"/>
      <c r="C1028" s="92"/>
      <c r="D1028" s="190"/>
      <c r="F1028" s="91"/>
      <c r="G1028" s="93"/>
      <c r="L1028" s="92"/>
      <c r="R1028" s="94"/>
    </row>
    <row r="1029" spans="1:18" s="7" customFormat="1" ht="55.5" x14ac:dyDescent="0.75">
      <c r="A1029" s="91"/>
      <c r="B1029" s="92"/>
      <c r="C1029" s="92"/>
      <c r="D1029" s="190"/>
      <c r="F1029" s="91"/>
      <c r="G1029" s="93"/>
      <c r="L1029" s="92"/>
      <c r="R1029" s="94"/>
    </row>
    <row r="1030" spans="1:18" s="7" customFormat="1" ht="55.5" x14ac:dyDescent="0.75">
      <c r="A1030" s="91"/>
      <c r="B1030" s="92"/>
      <c r="C1030" s="92"/>
      <c r="D1030" s="190"/>
      <c r="F1030" s="91"/>
      <c r="G1030" s="93"/>
      <c r="L1030" s="92"/>
      <c r="R1030" s="94"/>
    </row>
    <row r="1031" spans="1:18" s="7" customFormat="1" ht="55.5" x14ac:dyDescent="0.75">
      <c r="A1031" s="91"/>
      <c r="B1031" s="92"/>
      <c r="C1031" s="92"/>
      <c r="D1031" s="190"/>
      <c r="F1031" s="91"/>
      <c r="G1031" s="93"/>
      <c r="L1031" s="92"/>
      <c r="R1031" s="94"/>
    </row>
    <row r="1032" spans="1:18" s="7" customFormat="1" ht="55.5" x14ac:dyDescent="0.75">
      <c r="A1032" s="91"/>
      <c r="B1032" s="92"/>
      <c r="C1032" s="92"/>
      <c r="D1032" s="190"/>
      <c r="F1032" s="91"/>
      <c r="G1032" s="93"/>
      <c r="L1032" s="92"/>
      <c r="R1032" s="94"/>
    </row>
    <row r="1033" spans="1:18" s="7" customFormat="1" ht="55.5" x14ac:dyDescent="0.75">
      <c r="A1033" s="91"/>
      <c r="B1033" s="92"/>
      <c r="C1033" s="92"/>
      <c r="D1033" s="190"/>
      <c r="F1033" s="91"/>
      <c r="G1033" s="93"/>
      <c r="L1033" s="92"/>
      <c r="R1033" s="94"/>
    </row>
    <row r="1034" spans="1:18" s="7" customFormat="1" ht="55.5" x14ac:dyDescent="0.75">
      <c r="A1034" s="91"/>
      <c r="B1034" s="92"/>
      <c r="C1034" s="92"/>
      <c r="D1034" s="190"/>
      <c r="F1034" s="91"/>
      <c r="G1034" s="93"/>
      <c r="L1034" s="92"/>
      <c r="R1034" s="94"/>
    </row>
    <row r="1035" spans="1:18" s="7" customFormat="1" ht="55.5" x14ac:dyDescent="0.75">
      <c r="A1035" s="91"/>
      <c r="B1035" s="92"/>
      <c r="C1035" s="92"/>
      <c r="D1035" s="190"/>
      <c r="F1035" s="91"/>
      <c r="G1035" s="93"/>
      <c r="L1035" s="92"/>
      <c r="R1035" s="94"/>
    </row>
    <row r="1036" spans="1:18" s="7" customFormat="1" ht="55.5" x14ac:dyDescent="0.75">
      <c r="A1036" s="91"/>
      <c r="B1036" s="92"/>
      <c r="C1036" s="92"/>
      <c r="D1036" s="190"/>
      <c r="F1036" s="91"/>
      <c r="G1036" s="93"/>
      <c r="L1036" s="92"/>
      <c r="R1036" s="94"/>
    </row>
    <row r="1037" spans="1:18" s="7" customFormat="1" ht="55.5" x14ac:dyDescent="0.75">
      <c r="A1037" s="91"/>
      <c r="B1037" s="92"/>
      <c r="C1037" s="92"/>
      <c r="D1037" s="190"/>
      <c r="F1037" s="91"/>
      <c r="G1037" s="93"/>
      <c r="L1037" s="92"/>
      <c r="R1037" s="94"/>
    </row>
    <row r="1038" spans="1:18" s="7" customFormat="1" ht="55.5" x14ac:dyDescent="0.75">
      <c r="A1038" s="91"/>
      <c r="B1038" s="92"/>
      <c r="C1038" s="92"/>
      <c r="D1038" s="190"/>
      <c r="F1038" s="91"/>
      <c r="G1038" s="93"/>
      <c r="L1038" s="92"/>
      <c r="R1038" s="94"/>
    </row>
    <row r="1039" spans="1:18" s="7" customFormat="1" ht="55.5" x14ac:dyDescent="0.75">
      <c r="A1039" s="91"/>
      <c r="B1039" s="92"/>
      <c r="C1039" s="92"/>
      <c r="D1039" s="190"/>
      <c r="F1039" s="91"/>
      <c r="G1039" s="93"/>
      <c r="L1039" s="92"/>
      <c r="R1039" s="94"/>
    </row>
    <row r="1040" spans="1:18" s="7" customFormat="1" ht="55.5" x14ac:dyDescent="0.75">
      <c r="A1040" s="91"/>
      <c r="B1040" s="92"/>
      <c r="C1040" s="92"/>
      <c r="D1040" s="190"/>
      <c r="F1040" s="91"/>
      <c r="G1040" s="93"/>
      <c r="L1040" s="92"/>
      <c r="R1040" s="94"/>
    </row>
    <row r="1041" spans="1:18" s="7" customFormat="1" ht="55.5" x14ac:dyDescent="0.75">
      <c r="A1041" s="91"/>
      <c r="B1041" s="92"/>
      <c r="C1041" s="92"/>
      <c r="D1041" s="190"/>
      <c r="F1041" s="91"/>
      <c r="G1041" s="93"/>
      <c r="L1041" s="92"/>
      <c r="R1041" s="94"/>
    </row>
    <row r="1042" spans="1:18" s="7" customFormat="1" ht="55.5" x14ac:dyDescent="0.75">
      <c r="A1042" s="91"/>
      <c r="B1042" s="92"/>
      <c r="C1042" s="92"/>
      <c r="D1042" s="190"/>
      <c r="F1042" s="91"/>
      <c r="G1042" s="93"/>
      <c r="L1042" s="92"/>
      <c r="R1042" s="94"/>
    </row>
    <row r="1043" spans="1:18" s="7" customFormat="1" ht="55.5" x14ac:dyDescent="0.75">
      <c r="A1043" s="91"/>
      <c r="B1043" s="92"/>
      <c r="C1043" s="92"/>
      <c r="D1043" s="190"/>
      <c r="F1043" s="91"/>
      <c r="G1043" s="93"/>
      <c r="L1043" s="92"/>
      <c r="R1043" s="94"/>
    </row>
    <row r="1044" spans="1:18" s="7" customFormat="1" ht="55.5" x14ac:dyDescent="0.75">
      <c r="A1044" s="91"/>
      <c r="B1044" s="92"/>
      <c r="C1044" s="92"/>
      <c r="D1044" s="190"/>
      <c r="F1044" s="91"/>
      <c r="G1044" s="93"/>
      <c r="L1044" s="92"/>
      <c r="R1044" s="94"/>
    </row>
    <row r="1045" spans="1:18" s="7" customFormat="1" ht="55.5" x14ac:dyDescent="0.75">
      <c r="A1045" s="91"/>
      <c r="B1045" s="92"/>
      <c r="C1045" s="92"/>
      <c r="D1045" s="190"/>
      <c r="F1045" s="91"/>
      <c r="G1045" s="93"/>
      <c r="L1045" s="92"/>
      <c r="R1045" s="94"/>
    </row>
    <row r="1046" spans="1:18" s="7" customFormat="1" ht="55.5" x14ac:dyDescent="0.75">
      <c r="A1046" s="91"/>
      <c r="B1046" s="92"/>
      <c r="C1046" s="92"/>
      <c r="D1046" s="190"/>
      <c r="F1046" s="91"/>
      <c r="G1046" s="93"/>
      <c r="L1046" s="92"/>
      <c r="R1046" s="94"/>
    </row>
    <row r="1047" spans="1:18" s="7" customFormat="1" ht="55.5" x14ac:dyDescent="0.75">
      <c r="A1047" s="91"/>
      <c r="B1047" s="92"/>
      <c r="C1047" s="92"/>
      <c r="D1047" s="190"/>
      <c r="F1047" s="91"/>
      <c r="G1047" s="93"/>
      <c r="L1047" s="92"/>
      <c r="R1047" s="94"/>
    </row>
    <row r="1048" spans="1:18" s="7" customFormat="1" ht="55.5" x14ac:dyDescent="0.75">
      <c r="A1048" s="91"/>
      <c r="B1048" s="92"/>
      <c r="C1048" s="92"/>
      <c r="D1048" s="190"/>
      <c r="F1048" s="91"/>
      <c r="G1048" s="93"/>
      <c r="L1048" s="92"/>
      <c r="R1048" s="94"/>
    </row>
    <row r="1049" spans="1:18" s="7" customFormat="1" ht="55.5" x14ac:dyDescent="0.75">
      <c r="A1049" s="91"/>
      <c r="B1049" s="92"/>
      <c r="C1049" s="92"/>
      <c r="D1049" s="190"/>
      <c r="F1049" s="91"/>
      <c r="G1049" s="93"/>
      <c r="L1049" s="92"/>
      <c r="R1049" s="94"/>
    </row>
    <row r="1050" spans="1:18" s="7" customFormat="1" ht="55.5" x14ac:dyDescent="0.75">
      <c r="A1050" s="91"/>
      <c r="B1050" s="92"/>
      <c r="C1050" s="92"/>
      <c r="D1050" s="190"/>
      <c r="F1050" s="91"/>
      <c r="G1050" s="93"/>
      <c r="L1050" s="92"/>
      <c r="R1050" s="94"/>
    </row>
    <row r="1051" spans="1:18" s="7" customFormat="1" ht="55.5" x14ac:dyDescent="0.75">
      <c r="A1051" s="91"/>
      <c r="B1051" s="92"/>
      <c r="C1051" s="92"/>
      <c r="D1051" s="190"/>
      <c r="F1051" s="91"/>
      <c r="G1051" s="93"/>
      <c r="L1051" s="92"/>
      <c r="R1051" s="94"/>
    </row>
    <row r="1052" spans="1:18" s="7" customFormat="1" ht="55.5" x14ac:dyDescent="0.75">
      <c r="A1052" s="91"/>
      <c r="B1052" s="92"/>
      <c r="C1052" s="92"/>
      <c r="D1052" s="190"/>
      <c r="F1052" s="91"/>
      <c r="G1052" s="93"/>
      <c r="L1052" s="92"/>
      <c r="R1052" s="94"/>
    </row>
    <row r="1053" spans="1:18" s="7" customFormat="1" ht="55.5" x14ac:dyDescent="0.75">
      <c r="A1053" s="91"/>
      <c r="B1053" s="92"/>
      <c r="C1053" s="92"/>
      <c r="D1053" s="190"/>
      <c r="F1053" s="91"/>
      <c r="G1053" s="93"/>
      <c r="L1053" s="92"/>
      <c r="R1053" s="94"/>
    </row>
    <row r="1054" spans="1:18" s="7" customFormat="1" ht="55.5" x14ac:dyDescent="0.75">
      <c r="A1054" s="91"/>
      <c r="B1054" s="92"/>
      <c r="C1054" s="92"/>
      <c r="D1054" s="190"/>
      <c r="F1054" s="91"/>
      <c r="G1054" s="93"/>
      <c r="L1054" s="92"/>
      <c r="R1054" s="94"/>
    </row>
    <row r="1055" spans="1:18" s="7" customFormat="1" ht="55.5" x14ac:dyDescent="0.75">
      <c r="A1055" s="91"/>
      <c r="B1055" s="92"/>
      <c r="C1055" s="92"/>
      <c r="D1055" s="190"/>
      <c r="F1055" s="91"/>
      <c r="G1055" s="93"/>
      <c r="L1055" s="92"/>
      <c r="R1055" s="94"/>
    </row>
    <row r="1056" spans="1:18" s="7" customFormat="1" ht="55.5" x14ac:dyDescent="0.75">
      <c r="A1056" s="91"/>
      <c r="B1056" s="92"/>
      <c r="C1056" s="92"/>
      <c r="D1056" s="190"/>
      <c r="F1056" s="91"/>
      <c r="G1056" s="93"/>
      <c r="L1056" s="92"/>
      <c r="R1056" s="94"/>
    </row>
    <row r="1057" spans="1:18" s="7" customFormat="1" ht="55.5" x14ac:dyDescent="0.75">
      <c r="A1057" s="91"/>
      <c r="B1057" s="92"/>
      <c r="C1057" s="92"/>
      <c r="D1057" s="190"/>
      <c r="F1057" s="91"/>
      <c r="G1057" s="93"/>
      <c r="L1057" s="92"/>
      <c r="R1057" s="94"/>
    </row>
    <row r="1058" spans="1:18" s="7" customFormat="1" ht="55.5" x14ac:dyDescent="0.75">
      <c r="A1058" s="91"/>
      <c r="B1058" s="92"/>
      <c r="C1058" s="92"/>
      <c r="D1058" s="190"/>
      <c r="F1058" s="91"/>
      <c r="G1058" s="93"/>
      <c r="L1058" s="92"/>
      <c r="R1058" s="94"/>
    </row>
    <row r="1059" spans="1:18" s="7" customFormat="1" ht="55.5" x14ac:dyDescent="0.75">
      <c r="A1059" s="91"/>
      <c r="B1059" s="92"/>
      <c r="C1059" s="92"/>
      <c r="D1059" s="190"/>
      <c r="F1059" s="91"/>
      <c r="G1059" s="93"/>
      <c r="L1059" s="92"/>
      <c r="R1059" s="94"/>
    </row>
    <row r="1060" spans="1:18" s="7" customFormat="1" ht="55.5" x14ac:dyDescent="0.75">
      <c r="A1060" s="91"/>
      <c r="B1060" s="92"/>
      <c r="C1060" s="92"/>
      <c r="D1060" s="190"/>
      <c r="F1060" s="91"/>
      <c r="G1060" s="93"/>
      <c r="L1060" s="92"/>
      <c r="R1060" s="94"/>
    </row>
    <row r="1061" spans="1:18" s="7" customFormat="1" ht="55.5" x14ac:dyDescent="0.75">
      <c r="A1061" s="91"/>
      <c r="B1061" s="92"/>
      <c r="C1061" s="92"/>
      <c r="D1061" s="190"/>
      <c r="F1061" s="91"/>
      <c r="G1061" s="93"/>
      <c r="L1061" s="92"/>
      <c r="R1061" s="94"/>
    </row>
    <row r="1062" spans="1:18" s="7" customFormat="1" ht="55.5" x14ac:dyDescent="0.75">
      <c r="A1062" s="91"/>
      <c r="B1062" s="92"/>
      <c r="C1062" s="92"/>
      <c r="D1062" s="190"/>
      <c r="F1062" s="91"/>
      <c r="G1062" s="93"/>
      <c r="L1062" s="92"/>
      <c r="R1062" s="94"/>
    </row>
    <row r="1063" spans="1:18" s="7" customFormat="1" ht="55.5" x14ac:dyDescent="0.75">
      <c r="A1063" s="91"/>
      <c r="B1063" s="92"/>
      <c r="C1063" s="92"/>
      <c r="D1063" s="190"/>
      <c r="F1063" s="91"/>
      <c r="G1063" s="93"/>
      <c r="L1063" s="92"/>
      <c r="R1063" s="94"/>
    </row>
    <row r="1064" spans="1:18" s="7" customFormat="1" ht="55.5" x14ac:dyDescent="0.75">
      <c r="A1064" s="91"/>
      <c r="B1064" s="92"/>
      <c r="C1064" s="92"/>
      <c r="D1064" s="190"/>
      <c r="F1064" s="91"/>
      <c r="G1064" s="93"/>
      <c r="L1064" s="92"/>
      <c r="R1064" s="94"/>
    </row>
    <row r="1065" spans="1:18" s="7" customFormat="1" ht="55.5" x14ac:dyDescent="0.75">
      <c r="A1065" s="91"/>
      <c r="B1065" s="92"/>
      <c r="C1065" s="92"/>
      <c r="D1065" s="190"/>
      <c r="F1065" s="91"/>
      <c r="G1065" s="93"/>
      <c r="L1065" s="92"/>
      <c r="R1065" s="94"/>
    </row>
    <row r="1066" spans="1:18" s="7" customFormat="1" ht="55.5" x14ac:dyDescent="0.75">
      <c r="A1066" s="91"/>
      <c r="B1066" s="92"/>
      <c r="C1066" s="92"/>
      <c r="D1066" s="190"/>
      <c r="F1066" s="91"/>
      <c r="G1066" s="93"/>
      <c r="L1066" s="92"/>
      <c r="R1066" s="94"/>
    </row>
    <row r="1067" spans="1:18" s="7" customFormat="1" ht="55.5" x14ac:dyDescent="0.75">
      <c r="A1067" s="91"/>
      <c r="B1067" s="92"/>
      <c r="C1067" s="92"/>
      <c r="D1067" s="190"/>
      <c r="F1067" s="91"/>
      <c r="G1067" s="93"/>
      <c r="L1067" s="92"/>
      <c r="R1067" s="94"/>
    </row>
    <row r="1068" spans="1:18" s="7" customFormat="1" ht="55.5" x14ac:dyDescent="0.75">
      <c r="A1068" s="91"/>
      <c r="B1068" s="92"/>
      <c r="C1068" s="92"/>
      <c r="D1068" s="190"/>
      <c r="F1068" s="91"/>
      <c r="G1068" s="93"/>
      <c r="L1068" s="92"/>
      <c r="R1068" s="94"/>
    </row>
    <row r="1069" spans="1:18" s="7" customFormat="1" ht="55.5" x14ac:dyDescent="0.75">
      <c r="A1069" s="91"/>
      <c r="B1069" s="92"/>
      <c r="C1069" s="92"/>
      <c r="D1069" s="190"/>
      <c r="F1069" s="91"/>
      <c r="G1069" s="93"/>
      <c r="L1069" s="92"/>
      <c r="R1069" s="94"/>
    </row>
    <row r="1070" spans="1:18" s="7" customFormat="1" ht="55.5" x14ac:dyDescent="0.75">
      <c r="A1070" s="91"/>
      <c r="B1070" s="92"/>
      <c r="C1070" s="92"/>
      <c r="D1070" s="190"/>
      <c r="F1070" s="91"/>
      <c r="G1070" s="93"/>
      <c r="L1070" s="92"/>
      <c r="R1070" s="94"/>
    </row>
    <row r="1071" spans="1:18" s="7" customFormat="1" ht="55.5" x14ac:dyDescent="0.75">
      <c r="A1071" s="91"/>
      <c r="B1071" s="92"/>
      <c r="C1071" s="92"/>
      <c r="D1071" s="190"/>
      <c r="F1071" s="91"/>
      <c r="G1071" s="93"/>
      <c r="L1071" s="92"/>
      <c r="R1071" s="94"/>
    </row>
    <row r="1072" spans="1:18" s="7" customFormat="1" ht="55.5" x14ac:dyDescent="0.75">
      <c r="A1072" s="91"/>
      <c r="B1072" s="92"/>
      <c r="C1072" s="92"/>
      <c r="D1072" s="190"/>
      <c r="F1072" s="91"/>
      <c r="G1072" s="93"/>
      <c r="L1072" s="92"/>
      <c r="R1072" s="94"/>
    </row>
    <row r="1073" spans="1:18" s="7" customFormat="1" ht="55.5" x14ac:dyDescent="0.75">
      <c r="A1073" s="91"/>
      <c r="B1073" s="92"/>
      <c r="C1073" s="92"/>
      <c r="D1073" s="190"/>
      <c r="F1073" s="91"/>
      <c r="G1073" s="93"/>
      <c r="L1073" s="92"/>
      <c r="R1073" s="94"/>
    </row>
    <row r="1074" spans="1:18" s="7" customFormat="1" ht="55.5" x14ac:dyDescent="0.75">
      <c r="A1074" s="91"/>
      <c r="B1074" s="92"/>
      <c r="C1074" s="92"/>
      <c r="D1074" s="190"/>
      <c r="F1074" s="91"/>
      <c r="G1074" s="93"/>
      <c r="L1074" s="92"/>
      <c r="R1074" s="94"/>
    </row>
    <row r="1075" spans="1:18" s="7" customFormat="1" ht="55.5" x14ac:dyDescent="0.75">
      <c r="A1075" s="91"/>
      <c r="B1075" s="92"/>
      <c r="C1075" s="92"/>
      <c r="D1075" s="190"/>
      <c r="F1075" s="91"/>
      <c r="G1075" s="93"/>
      <c r="L1075" s="92"/>
      <c r="R1075" s="94"/>
    </row>
    <row r="1076" spans="1:18" s="7" customFormat="1" ht="55.5" x14ac:dyDescent="0.75">
      <c r="A1076" s="91"/>
      <c r="B1076" s="92"/>
      <c r="C1076" s="92"/>
      <c r="D1076" s="190"/>
      <c r="F1076" s="91"/>
      <c r="G1076" s="93"/>
      <c r="L1076" s="92"/>
      <c r="R1076" s="94"/>
    </row>
    <row r="1077" spans="1:18" s="7" customFormat="1" ht="55.5" x14ac:dyDescent="0.75">
      <c r="A1077" s="91"/>
      <c r="B1077" s="92"/>
      <c r="C1077" s="92"/>
      <c r="D1077" s="190"/>
      <c r="F1077" s="91"/>
      <c r="G1077" s="93"/>
      <c r="L1077" s="92"/>
      <c r="R1077" s="94"/>
    </row>
    <row r="1078" spans="1:18" s="7" customFormat="1" ht="55.5" x14ac:dyDescent="0.75">
      <c r="A1078" s="91"/>
      <c r="B1078" s="92"/>
      <c r="C1078" s="92"/>
      <c r="D1078" s="190"/>
      <c r="F1078" s="91"/>
      <c r="G1078" s="93"/>
      <c r="L1078" s="92"/>
      <c r="R1078" s="94"/>
    </row>
    <row r="1079" spans="1:18" s="7" customFormat="1" ht="55.5" x14ac:dyDescent="0.75">
      <c r="A1079" s="91"/>
      <c r="B1079" s="92"/>
      <c r="C1079" s="92"/>
      <c r="D1079" s="190"/>
      <c r="F1079" s="91"/>
      <c r="G1079" s="93"/>
      <c r="L1079" s="92"/>
      <c r="R1079" s="94"/>
    </row>
    <row r="1080" spans="1:18" s="7" customFormat="1" ht="55.5" x14ac:dyDescent="0.75">
      <c r="A1080" s="91"/>
      <c r="B1080" s="92"/>
      <c r="C1080" s="92"/>
      <c r="D1080" s="190"/>
      <c r="F1080" s="91"/>
      <c r="G1080" s="93"/>
      <c r="L1080" s="92"/>
      <c r="R1080" s="94"/>
    </row>
    <row r="1081" spans="1:18" s="7" customFormat="1" ht="55.5" x14ac:dyDescent="0.75">
      <c r="A1081" s="91"/>
      <c r="B1081" s="92"/>
      <c r="C1081" s="92"/>
      <c r="D1081" s="190"/>
      <c r="F1081" s="91"/>
      <c r="G1081" s="93"/>
      <c r="L1081" s="92"/>
      <c r="R1081" s="94"/>
    </row>
    <row r="1082" spans="1:18" s="7" customFormat="1" ht="55.5" x14ac:dyDescent="0.75">
      <c r="A1082" s="91"/>
      <c r="B1082" s="92"/>
      <c r="C1082" s="92"/>
      <c r="D1082" s="190"/>
      <c r="F1082" s="91"/>
      <c r="G1082" s="93"/>
      <c r="L1082" s="92"/>
      <c r="R1082" s="94"/>
    </row>
    <row r="1083" spans="1:18" s="7" customFormat="1" ht="55.5" x14ac:dyDescent="0.75">
      <c r="A1083" s="91"/>
      <c r="B1083" s="92"/>
      <c r="C1083" s="92"/>
      <c r="D1083" s="190"/>
      <c r="F1083" s="91"/>
      <c r="G1083" s="93"/>
      <c r="L1083" s="92"/>
      <c r="R1083" s="94"/>
    </row>
    <row r="1084" spans="1:18" s="7" customFormat="1" ht="55.5" x14ac:dyDescent="0.75">
      <c r="A1084" s="91"/>
      <c r="B1084" s="92"/>
      <c r="C1084" s="92"/>
      <c r="D1084" s="190"/>
      <c r="F1084" s="91"/>
      <c r="G1084" s="93"/>
      <c r="L1084" s="92"/>
      <c r="R1084" s="94"/>
    </row>
    <row r="1085" spans="1:18" s="7" customFormat="1" ht="55.5" x14ac:dyDescent="0.75">
      <c r="A1085" s="91"/>
      <c r="B1085" s="92"/>
      <c r="C1085" s="92"/>
      <c r="D1085" s="190"/>
      <c r="F1085" s="91"/>
      <c r="G1085" s="93"/>
      <c r="L1085" s="92"/>
      <c r="R1085" s="94"/>
    </row>
    <row r="1086" spans="1:18" s="7" customFormat="1" ht="55.5" x14ac:dyDescent="0.75">
      <c r="A1086" s="91"/>
      <c r="B1086" s="92"/>
      <c r="C1086" s="92"/>
      <c r="D1086" s="190"/>
      <c r="F1086" s="91"/>
      <c r="G1086" s="93"/>
      <c r="L1086" s="92"/>
      <c r="R1086" s="94"/>
    </row>
    <row r="1087" spans="1:18" s="7" customFormat="1" ht="55.5" x14ac:dyDescent="0.75">
      <c r="A1087" s="91"/>
      <c r="B1087" s="92"/>
      <c r="C1087" s="92"/>
      <c r="D1087" s="190"/>
      <c r="F1087" s="91"/>
      <c r="G1087" s="93"/>
      <c r="L1087" s="92"/>
      <c r="R1087" s="94"/>
    </row>
    <row r="1088" spans="1:18" s="7" customFormat="1" ht="55.5" x14ac:dyDescent="0.75">
      <c r="A1088" s="91"/>
      <c r="B1088" s="92"/>
      <c r="C1088" s="92"/>
      <c r="D1088" s="190"/>
      <c r="F1088" s="91"/>
      <c r="G1088" s="93"/>
      <c r="L1088" s="92"/>
      <c r="R1088" s="94"/>
    </row>
    <row r="1089" spans="1:18" s="7" customFormat="1" ht="55.5" x14ac:dyDescent="0.75">
      <c r="A1089" s="91"/>
      <c r="B1089" s="92"/>
      <c r="C1089" s="92"/>
      <c r="D1089" s="190"/>
      <c r="F1089" s="91"/>
      <c r="G1089" s="93"/>
      <c r="L1089" s="92"/>
      <c r="R1089" s="94"/>
    </row>
    <row r="1090" spans="1:18" s="7" customFormat="1" ht="55.5" x14ac:dyDescent="0.75">
      <c r="A1090" s="91"/>
      <c r="B1090" s="92"/>
      <c r="C1090" s="92"/>
      <c r="D1090" s="190"/>
      <c r="F1090" s="91"/>
      <c r="G1090" s="93"/>
      <c r="L1090" s="92"/>
      <c r="R1090" s="94"/>
    </row>
    <row r="1091" spans="1:18" s="7" customFormat="1" ht="55.5" x14ac:dyDescent="0.75">
      <c r="A1091" s="91"/>
      <c r="B1091" s="92"/>
      <c r="C1091" s="92"/>
      <c r="D1091" s="190"/>
      <c r="F1091" s="91"/>
      <c r="G1091" s="93"/>
      <c r="L1091" s="92"/>
      <c r="R1091" s="94"/>
    </row>
    <row r="1092" spans="1:18" s="7" customFormat="1" ht="55.5" x14ac:dyDescent="0.75">
      <c r="A1092" s="91"/>
      <c r="B1092" s="92"/>
      <c r="C1092" s="92"/>
      <c r="D1092" s="190"/>
      <c r="F1092" s="91"/>
      <c r="G1092" s="93"/>
      <c r="L1092" s="92"/>
      <c r="R1092" s="94"/>
    </row>
    <row r="1093" spans="1:18" s="7" customFormat="1" ht="55.5" x14ac:dyDescent="0.75">
      <c r="A1093" s="91"/>
      <c r="B1093" s="92"/>
      <c r="C1093" s="92"/>
      <c r="D1093" s="190"/>
      <c r="F1093" s="91"/>
      <c r="G1093" s="93"/>
      <c r="L1093" s="92"/>
      <c r="R1093" s="94"/>
    </row>
    <row r="1094" spans="1:18" s="7" customFormat="1" ht="55.5" x14ac:dyDescent="0.75">
      <c r="A1094" s="91"/>
      <c r="B1094" s="92"/>
      <c r="C1094" s="92"/>
      <c r="D1094" s="190"/>
      <c r="F1094" s="91"/>
      <c r="G1094" s="93"/>
      <c r="L1094" s="92"/>
      <c r="R1094" s="94"/>
    </row>
    <row r="1095" spans="1:18" s="7" customFormat="1" ht="55.5" x14ac:dyDescent="0.75">
      <c r="A1095" s="91"/>
      <c r="B1095" s="92"/>
      <c r="C1095" s="92"/>
      <c r="D1095" s="190"/>
      <c r="F1095" s="91"/>
      <c r="G1095" s="93"/>
      <c r="L1095" s="92"/>
      <c r="R1095" s="94"/>
    </row>
    <row r="1096" spans="1:18" s="7" customFormat="1" ht="55.5" x14ac:dyDescent="0.75">
      <c r="A1096" s="91"/>
      <c r="B1096" s="92"/>
      <c r="C1096" s="92"/>
      <c r="D1096" s="190"/>
      <c r="F1096" s="91"/>
      <c r="G1096" s="93"/>
      <c r="L1096" s="92"/>
      <c r="R1096" s="94"/>
    </row>
    <row r="1097" spans="1:18" s="7" customFormat="1" ht="55.5" x14ac:dyDescent="0.75">
      <c r="A1097" s="91"/>
      <c r="B1097" s="92"/>
      <c r="C1097" s="92"/>
      <c r="D1097" s="190"/>
      <c r="F1097" s="91"/>
      <c r="G1097" s="93"/>
      <c r="L1097" s="92"/>
      <c r="R1097" s="94"/>
    </row>
    <row r="1098" spans="1:18" s="7" customFormat="1" ht="55.5" x14ac:dyDescent="0.75">
      <c r="A1098" s="91"/>
      <c r="B1098" s="92"/>
      <c r="C1098" s="92"/>
      <c r="D1098" s="190"/>
      <c r="F1098" s="91"/>
      <c r="G1098" s="93"/>
      <c r="L1098" s="92"/>
      <c r="R1098" s="94"/>
    </row>
    <row r="1099" spans="1:18" s="7" customFormat="1" ht="55.5" x14ac:dyDescent="0.75">
      <c r="A1099" s="91"/>
      <c r="B1099" s="92"/>
      <c r="C1099" s="92"/>
      <c r="D1099" s="190"/>
      <c r="F1099" s="91"/>
      <c r="G1099" s="93"/>
      <c r="L1099" s="92"/>
      <c r="R1099" s="94"/>
    </row>
    <row r="1100" spans="1:18" s="7" customFormat="1" ht="55.5" x14ac:dyDescent="0.75">
      <c r="A1100" s="91"/>
      <c r="B1100" s="92"/>
      <c r="C1100" s="92"/>
      <c r="D1100" s="190"/>
      <c r="F1100" s="91"/>
      <c r="G1100" s="93"/>
      <c r="L1100" s="92"/>
      <c r="R1100" s="94"/>
    </row>
    <row r="1101" spans="1:18" s="7" customFormat="1" ht="55.5" x14ac:dyDescent="0.75">
      <c r="A1101" s="91"/>
      <c r="B1101" s="92"/>
      <c r="C1101" s="92"/>
      <c r="D1101" s="190"/>
      <c r="F1101" s="91"/>
      <c r="G1101" s="93"/>
      <c r="L1101" s="92"/>
      <c r="R1101" s="94"/>
    </row>
    <row r="1102" spans="1:18" s="7" customFormat="1" ht="55.5" x14ac:dyDescent="0.75">
      <c r="A1102" s="91"/>
      <c r="B1102" s="92"/>
      <c r="C1102" s="92"/>
      <c r="D1102" s="190"/>
      <c r="F1102" s="91"/>
      <c r="G1102" s="93"/>
      <c r="L1102" s="92"/>
      <c r="R1102" s="94"/>
    </row>
    <row r="1103" spans="1:18" s="7" customFormat="1" ht="55.5" x14ac:dyDescent="0.75">
      <c r="A1103" s="91"/>
      <c r="B1103" s="92"/>
      <c r="C1103" s="92"/>
      <c r="D1103" s="190"/>
      <c r="F1103" s="91"/>
      <c r="G1103" s="93"/>
      <c r="L1103" s="92"/>
      <c r="R1103" s="94"/>
    </row>
    <row r="1104" spans="1:18" s="7" customFormat="1" ht="55.5" x14ac:dyDescent="0.75">
      <c r="A1104" s="91"/>
      <c r="B1104" s="92"/>
      <c r="C1104" s="92"/>
      <c r="D1104" s="190"/>
      <c r="F1104" s="91"/>
      <c r="G1104" s="93"/>
      <c r="L1104" s="92"/>
      <c r="R1104" s="94"/>
    </row>
    <row r="1105" spans="1:18" s="7" customFormat="1" ht="55.5" x14ac:dyDescent="0.75">
      <c r="A1105" s="91"/>
      <c r="B1105" s="92"/>
      <c r="C1105" s="92"/>
      <c r="D1105" s="190"/>
      <c r="F1105" s="91"/>
      <c r="G1105" s="93"/>
      <c r="L1105" s="92"/>
      <c r="R1105" s="94"/>
    </row>
    <row r="1106" spans="1:18" s="7" customFormat="1" ht="55.5" x14ac:dyDescent="0.75">
      <c r="A1106" s="91"/>
      <c r="B1106" s="92"/>
      <c r="C1106" s="92"/>
      <c r="D1106" s="190"/>
      <c r="F1106" s="91"/>
      <c r="G1106" s="93"/>
      <c r="L1106" s="92"/>
      <c r="R1106" s="94"/>
    </row>
    <row r="1107" spans="1:18" s="7" customFormat="1" ht="55.5" x14ac:dyDescent="0.75">
      <c r="A1107" s="91"/>
      <c r="B1107" s="92"/>
      <c r="C1107" s="92"/>
      <c r="D1107" s="190"/>
      <c r="F1107" s="91"/>
      <c r="G1107" s="93"/>
      <c r="L1107" s="92"/>
      <c r="R1107" s="94"/>
    </row>
    <row r="1108" spans="1:18" s="7" customFormat="1" ht="55.5" x14ac:dyDescent="0.75">
      <c r="A1108" s="91"/>
      <c r="B1108" s="92"/>
      <c r="C1108" s="92"/>
      <c r="D1108" s="190"/>
      <c r="F1108" s="91"/>
      <c r="G1108" s="93"/>
      <c r="L1108" s="92"/>
      <c r="R1108" s="94"/>
    </row>
    <row r="1109" spans="1:18" s="7" customFormat="1" ht="55.5" x14ac:dyDescent="0.75">
      <c r="A1109" s="91"/>
      <c r="B1109" s="92"/>
      <c r="C1109" s="92"/>
      <c r="D1109" s="190"/>
      <c r="F1109" s="91"/>
      <c r="G1109" s="93"/>
      <c r="L1109" s="92"/>
      <c r="R1109" s="94"/>
    </row>
    <row r="1110" spans="1:18" s="7" customFormat="1" ht="55.5" x14ac:dyDescent="0.75">
      <c r="A1110" s="91"/>
      <c r="B1110" s="92"/>
      <c r="C1110" s="92"/>
      <c r="D1110" s="190"/>
      <c r="F1110" s="91"/>
      <c r="G1110" s="93"/>
      <c r="L1110" s="92"/>
      <c r="R1110" s="94"/>
    </row>
    <row r="1111" spans="1:18" s="7" customFormat="1" ht="55.5" x14ac:dyDescent="0.75">
      <c r="A1111" s="91"/>
      <c r="B1111" s="92"/>
      <c r="C1111" s="92"/>
      <c r="D1111" s="190"/>
      <c r="F1111" s="91"/>
      <c r="G1111" s="93"/>
      <c r="L1111" s="92"/>
      <c r="R1111" s="94"/>
    </row>
    <row r="1112" spans="1:18" s="7" customFormat="1" ht="55.5" x14ac:dyDescent="0.75">
      <c r="A1112" s="91"/>
      <c r="B1112" s="92"/>
      <c r="C1112" s="92"/>
      <c r="D1112" s="190"/>
      <c r="F1112" s="91"/>
      <c r="G1112" s="93"/>
      <c r="L1112" s="92"/>
      <c r="R1112" s="94"/>
    </row>
    <row r="1113" spans="1:18" s="7" customFormat="1" ht="55.5" x14ac:dyDescent="0.75">
      <c r="A1113" s="91"/>
      <c r="B1113" s="92"/>
      <c r="C1113" s="92"/>
      <c r="D1113" s="190"/>
      <c r="F1113" s="91"/>
      <c r="G1113" s="93"/>
      <c r="L1113" s="92"/>
      <c r="R1113" s="94"/>
    </row>
    <row r="1114" spans="1:18" s="7" customFormat="1" ht="55.5" x14ac:dyDescent="0.75">
      <c r="A1114" s="91"/>
      <c r="B1114" s="92"/>
      <c r="C1114" s="92"/>
      <c r="D1114" s="190"/>
      <c r="F1114" s="91"/>
      <c r="G1114" s="93"/>
      <c r="L1114" s="92"/>
      <c r="R1114" s="94"/>
    </row>
    <row r="1115" spans="1:18" s="7" customFormat="1" ht="55.5" x14ac:dyDescent="0.75">
      <c r="A1115" s="91"/>
      <c r="B1115" s="92"/>
      <c r="C1115" s="92"/>
      <c r="D1115" s="190"/>
      <c r="F1115" s="91"/>
      <c r="G1115" s="93"/>
      <c r="L1115" s="92"/>
      <c r="R1115" s="94"/>
    </row>
    <row r="1116" spans="1:18" s="7" customFormat="1" ht="55.5" x14ac:dyDescent="0.75">
      <c r="A1116" s="91"/>
      <c r="B1116" s="92"/>
      <c r="C1116" s="92"/>
      <c r="D1116" s="190"/>
      <c r="F1116" s="91"/>
      <c r="G1116" s="93"/>
      <c r="L1116" s="92"/>
      <c r="R1116" s="94"/>
    </row>
    <row r="1117" spans="1:18" s="7" customFormat="1" ht="55.5" x14ac:dyDescent="0.75">
      <c r="A1117" s="91"/>
      <c r="B1117" s="92"/>
      <c r="C1117" s="92"/>
      <c r="D1117" s="190"/>
      <c r="F1117" s="91"/>
      <c r="G1117" s="93"/>
      <c r="L1117" s="92"/>
      <c r="R1117" s="94"/>
    </row>
    <row r="1118" spans="1:18" s="7" customFormat="1" ht="55.5" x14ac:dyDescent="0.75">
      <c r="A1118" s="91"/>
      <c r="B1118" s="92"/>
      <c r="C1118" s="92"/>
      <c r="D1118" s="190"/>
      <c r="F1118" s="91"/>
      <c r="G1118" s="93"/>
      <c r="L1118" s="92"/>
      <c r="R1118" s="94"/>
    </row>
    <row r="1119" spans="1:18" s="7" customFormat="1" ht="55.5" x14ac:dyDescent="0.75">
      <c r="A1119" s="91"/>
      <c r="B1119" s="92"/>
      <c r="C1119" s="92"/>
      <c r="D1119" s="190"/>
      <c r="F1119" s="91"/>
      <c r="G1119" s="93"/>
      <c r="L1119" s="92"/>
      <c r="R1119" s="94"/>
    </row>
    <row r="1120" spans="1:18" s="7" customFormat="1" ht="55.5" x14ac:dyDescent="0.75">
      <c r="A1120" s="91"/>
      <c r="B1120" s="92"/>
      <c r="C1120" s="92"/>
      <c r="D1120" s="190"/>
      <c r="F1120" s="91"/>
      <c r="G1120" s="93"/>
      <c r="L1120" s="92"/>
      <c r="R1120" s="94"/>
    </row>
    <row r="1121" spans="1:18" s="7" customFormat="1" ht="55.5" x14ac:dyDescent="0.75">
      <c r="A1121" s="91"/>
      <c r="B1121" s="92"/>
      <c r="C1121" s="92"/>
      <c r="D1121" s="190"/>
      <c r="F1121" s="91"/>
      <c r="G1121" s="93"/>
      <c r="L1121" s="92"/>
      <c r="R1121" s="94"/>
    </row>
    <row r="1122" spans="1:18" s="7" customFormat="1" ht="55.5" x14ac:dyDescent="0.75">
      <c r="A1122" s="91"/>
      <c r="B1122" s="92"/>
      <c r="C1122" s="92"/>
      <c r="D1122" s="190"/>
      <c r="F1122" s="91"/>
      <c r="G1122" s="93"/>
      <c r="L1122" s="92"/>
      <c r="R1122" s="94"/>
    </row>
    <row r="1123" spans="1:18" s="7" customFormat="1" ht="55.5" x14ac:dyDescent="0.75">
      <c r="A1123" s="91"/>
      <c r="B1123" s="92"/>
      <c r="C1123" s="92"/>
      <c r="D1123" s="190"/>
      <c r="F1123" s="91"/>
      <c r="G1123" s="93"/>
      <c r="L1123" s="92"/>
      <c r="R1123" s="94"/>
    </row>
    <row r="1124" spans="1:18" s="7" customFormat="1" ht="55.5" x14ac:dyDescent="0.75">
      <c r="A1124" s="91"/>
      <c r="B1124" s="92"/>
      <c r="C1124" s="92"/>
      <c r="D1124" s="190"/>
      <c r="F1124" s="91"/>
      <c r="G1124" s="93"/>
      <c r="L1124" s="92"/>
      <c r="R1124" s="94"/>
    </row>
    <row r="1125" spans="1:18" s="7" customFormat="1" ht="55.5" x14ac:dyDescent="0.75">
      <c r="A1125" s="91"/>
      <c r="B1125" s="92"/>
      <c r="C1125" s="92"/>
      <c r="D1125" s="190"/>
      <c r="F1125" s="91"/>
      <c r="G1125" s="93"/>
      <c r="L1125" s="92"/>
      <c r="R1125" s="94"/>
    </row>
    <row r="1126" spans="1:18" s="7" customFormat="1" ht="55.5" x14ac:dyDescent="0.75">
      <c r="A1126" s="91"/>
      <c r="B1126" s="92"/>
      <c r="C1126" s="92"/>
      <c r="D1126" s="190"/>
      <c r="F1126" s="91"/>
      <c r="G1126" s="93"/>
      <c r="L1126" s="92"/>
      <c r="R1126" s="94"/>
    </row>
    <row r="1127" spans="1:18" s="7" customFormat="1" ht="55.5" x14ac:dyDescent="0.75">
      <c r="A1127" s="91"/>
      <c r="B1127" s="92"/>
      <c r="C1127" s="92"/>
      <c r="D1127" s="190"/>
      <c r="F1127" s="91"/>
      <c r="G1127" s="93"/>
      <c r="L1127" s="92"/>
      <c r="R1127" s="94"/>
    </row>
    <row r="1128" spans="1:18" s="7" customFormat="1" ht="55.5" x14ac:dyDescent="0.75">
      <c r="A1128" s="91"/>
      <c r="B1128" s="92"/>
      <c r="C1128" s="92"/>
      <c r="D1128" s="190"/>
      <c r="F1128" s="91"/>
      <c r="G1128" s="93"/>
      <c r="L1128" s="92"/>
      <c r="R1128" s="94"/>
    </row>
    <row r="1129" spans="1:18" s="7" customFormat="1" ht="55.5" x14ac:dyDescent="0.75">
      <c r="A1129" s="91"/>
      <c r="B1129" s="92"/>
      <c r="C1129" s="92"/>
      <c r="D1129" s="190"/>
      <c r="F1129" s="91"/>
      <c r="G1129" s="93"/>
      <c r="L1129" s="92"/>
      <c r="R1129" s="94"/>
    </row>
    <row r="1130" spans="1:18" s="7" customFormat="1" ht="55.5" x14ac:dyDescent="0.75">
      <c r="A1130" s="91"/>
      <c r="B1130" s="92"/>
      <c r="C1130" s="92"/>
      <c r="D1130" s="190"/>
      <c r="F1130" s="91"/>
      <c r="G1130" s="93"/>
      <c r="L1130" s="92"/>
      <c r="R1130" s="94"/>
    </row>
    <row r="1131" spans="1:18" s="7" customFormat="1" ht="55.5" x14ac:dyDescent="0.75">
      <c r="A1131" s="91"/>
      <c r="B1131" s="92"/>
      <c r="C1131" s="92"/>
      <c r="D1131" s="190"/>
      <c r="F1131" s="91"/>
      <c r="G1131" s="93"/>
      <c r="L1131" s="92"/>
      <c r="R1131" s="94"/>
    </row>
    <row r="1132" spans="1:18" s="7" customFormat="1" ht="55.5" x14ac:dyDescent="0.75">
      <c r="A1132" s="91"/>
      <c r="B1132" s="92"/>
      <c r="C1132" s="92"/>
      <c r="D1132" s="190"/>
      <c r="F1132" s="91"/>
      <c r="G1132" s="93"/>
      <c r="L1132" s="92"/>
      <c r="R1132" s="94"/>
    </row>
    <row r="1133" spans="1:18" s="7" customFormat="1" ht="55.5" x14ac:dyDescent="0.75">
      <c r="A1133" s="91"/>
      <c r="B1133" s="92"/>
      <c r="C1133" s="92"/>
      <c r="D1133" s="190"/>
      <c r="F1133" s="91"/>
      <c r="G1133" s="93"/>
      <c r="L1133" s="92"/>
      <c r="R1133" s="94"/>
    </row>
    <row r="1134" spans="1:18" s="7" customFormat="1" ht="55.5" x14ac:dyDescent="0.75">
      <c r="A1134" s="91"/>
      <c r="B1134" s="92"/>
      <c r="C1134" s="92"/>
      <c r="D1134" s="190"/>
      <c r="F1134" s="91"/>
      <c r="G1134" s="93"/>
      <c r="L1134" s="92"/>
      <c r="R1134" s="94"/>
    </row>
    <row r="1135" spans="1:18" s="7" customFormat="1" ht="55.5" x14ac:dyDescent="0.75">
      <c r="A1135" s="91"/>
      <c r="B1135" s="92"/>
      <c r="C1135" s="92"/>
      <c r="D1135" s="190"/>
      <c r="F1135" s="91"/>
      <c r="G1135" s="93"/>
      <c r="L1135" s="92"/>
      <c r="R1135" s="94"/>
    </row>
    <row r="1136" spans="1:18" s="7" customFormat="1" ht="55.5" x14ac:dyDescent="0.75">
      <c r="A1136" s="91"/>
      <c r="B1136" s="92"/>
      <c r="C1136" s="92"/>
      <c r="D1136" s="190"/>
      <c r="F1136" s="91"/>
      <c r="G1136" s="93"/>
      <c r="L1136" s="92"/>
      <c r="R1136" s="94"/>
    </row>
    <row r="1137" spans="1:18" s="7" customFormat="1" ht="55.5" x14ac:dyDescent="0.75">
      <c r="A1137" s="91"/>
      <c r="B1137" s="92"/>
      <c r="C1137" s="92"/>
      <c r="D1137" s="190"/>
      <c r="F1137" s="91"/>
      <c r="G1137" s="93"/>
      <c r="L1137" s="92"/>
      <c r="R1137" s="94"/>
    </row>
    <row r="1138" spans="1:18" s="7" customFormat="1" ht="55.5" x14ac:dyDescent="0.75">
      <c r="A1138" s="91"/>
      <c r="B1138" s="92"/>
      <c r="C1138" s="92"/>
      <c r="D1138" s="190"/>
      <c r="F1138" s="91"/>
      <c r="G1138" s="93"/>
      <c r="L1138" s="92"/>
      <c r="R1138" s="94"/>
    </row>
    <row r="1139" spans="1:18" s="7" customFormat="1" ht="55.5" x14ac:dyDescent="0.75">
      <c r="A1139" s="91"/>
      <c r="B1139" s="92"/>
      <c r="C1139" s="92"/>
      <c r="D1139" s="190"/>
      <c r="F1139" s="91"/>
      <c r="G1139" s="93"/>
      <c r="L1139" s="92"/>
      <c r="R1139" s="94"/>
    </row>
    <row r="1140" spans="1:18" s="7" customFormat="1" ht="55.5" x14ac:dyDescent="0.75">
      <c r="A1140" s="91"/>
      <c r="B1140" s="92"/>
      <c r="C1140" s="92"/>
      <c r="D1140" s="190"/>
      <c r="F1140" s="91"/>
      <c r="G1140" s="93"/>
      <c r="L1140" s="92"/>
      <c r="R1140" s="94"/>
    </row>
    <row r="1141" spans="1:18" s="7" customFormat="1" ht="55.5" x14ac:dyDescent="0.75">
      <c r="A1141" s="91"/>
      <c r="B1141" s="92"/>
      <c r="C1141" s="92"/>
      <c r="D1141" s="190"/>
      <c r="F1141" s="91"/>
      <c r="G1141" s="93"/>
      <c r="L1141" s="92"/>
      <c r="R1141" s="94"/>
    </row>
    <row r="1142" spans="1:18" s="7" customFormat="1" ht="55.5" x14ac:dyDescent="0.75">
      <c r="A1142" s="91"/>
      <c r="B1142" s="92"/>
      <c r="C1142" s="92"/>
      <c r="D1142" s="190"/>
      <c r="F1142" s="91"/>
      <c r="G1142" s="93"/>
      <c r="L1142" s="92"/>
      <c r="R1142" s="94"/>
    </row>
    <row r="1143" spans="1:18" s="7" customFormat="1" ht="55.5" x14ac:dyDescent="0.75">
      <c r="A1143" s="91"/>
      <c r="B1143" s="92"/>
      <c r="C1143" s="92"/>
      <c r="D1143" s="190"/>
      <c r="F1143" s="91"/>
      <c r="G1143" s="93"/>
      <c r="L1143" s="92"/>
      <c r="R1143" s="94"/>
    </row>
    <row r="1144" spans="1:18" s="7" customFormat="1" ht="55.5" x14ac:dyDescent="0.75">
      <c r="A1144" s="91"/>
      <c r="B1144" s="92"/>
      <c r="C1144" s="92"/>
      <c r="D1144" s="190"/>
      <c r="F1144" s="91"/>
      <c r="G1144" s="93"/>
      <c r="L1144" s="92"/>
      <c r="R1144" s="94"/>
    </row>
    <row r="1145" spans="1:18" s="7" customFormat="1" ht="55.5" x14ac:dyDescent="0.75">
      <c r="A1145" s="91"/>
      <c r="B1145" s="92"/>
      <c r="C1145" s="92"/>
      <c r="D1145" s="190"/>
      <c r="F1145" s="91"/>
      <c r="G1145" s="93"/>
      <c r="L1145" s="92"/>
      <c r="R1145" s="94"/>
    </row>
    <row r="1146" spans="1:18" s="7" customFormat="1" ht="55.5" x14ac:dyDescent="0.75">
      <c r="A1146" s="91"/>
      <c r="B1146" s="92"/>
      <c r="C1146" s="92"/>
      <c r="D1146" s="190"/>
      <c r="F1146" s="91"/>
      <c r="G1146" s="93"/>
      <c r="L1146" s="92"/>
      <c r="R1146" s="94"/>
    </row>
    <row r="1147" spans="1:18" s="7" customFormat="1" ht="55.5" x14ac:dyDescent="0.75">
      <c r="A1147" s="91"/>
      <c r="B1147" s="92"/>
      <c r="C1147" s="92"/>
      <c r="D1147" s="190"/>
      <c r="F1147" s="91"/>
      <c r="G1147" s="93"/>
      <c r="L1147" s="92"/>
      <c r="R1147" s="94"/>
    </row>
    <row r="1148" spans="1:18" s="7" customFormat="1" ht="55.5" x14ac:dyDescent="0.75">
      <c r="A1148" s="91"/>
      <c r="B1148" s="92"/>
      <c r="C1148" s="92"/>
      <c r="D1148" s="190"/>
      <c r="F1148" s="91"/>
      <c r="G1148" s="93"/>
      <c r="L1148" s="92"/>
      <c r="R1148" s="94"/>
    </row>
    <row r="1149" spans="1:18" s="7" customFormat="1" ht="55.5" x14ac:dyDescent="0.75">
      <c r="A1149" s="91"/>
      <c r="B1149" s="92"/>
      <c r="C1149" s="92"/>
      <c r="D1149" s="190"/>
      <c r="F1149" s="91"/>
      <c r="G1149" s="93"/>
      <c r="L1149" s="92"/>
      <c r="R1149" s="94"/>
    </row>
    <row r="1150" spans="1:18" s="7" customFormat="1" ht="55.5" x14ac:dyDescent="0.75">
      <c r="A1150" s="91"/>
      <c r="B1150" s="92"/>
      <c r="C1150" s="92"/>
      <c r="D1150" s="190"/>
      <c r="F1150" s="91"/>
      <c r="G1150" s="93"/>
      <c r="L1150" s="92"/>
      <c r="R1150" s="94"/>
    </row>
    <row r="1151" spans="1:18" s="7" customFormat="1" ht="55.5" x14ac:dyDescent="0.75">
      <c r="A1151" s="91"/>
      <c r="B1151" s="92"/>
      <c r="C1151" s="92"/>
      <c r="D1151" s="190"/>
      <c r="F1151" s="91"/>
      <c r="G1151" s="93"/>
      <c r="L1151" s="92"/>
      <c r="R1151" s="94"/>
    </row>
    <row r="1152" spans="1:18" s="7" customFormat="1" ht="55.5" x14ac:dyDescent="0.75">
      <c r="A1152" s="91"/>
      <c r="B1152" s="92"/>
      <c r="C1152" s="92"/>
      <c r="D1152" s="190"/>
      <c r="F1152" s="91"/>
      <c r="G1152" s="93"/>
      <c r="L1152" s="92"/>
      <c r="R1152" s="94"/>
    </row>
    <row r="1153" spans="1:18" s="7" customFormat="1" ht="55.5" x14ac:dyDescent="0.75">
      <c r="A1153" s="91"/>
      <c r="B1153" s="92"/>
      <c r="C1153" s="92"/>
      <c r="D1153" s="190"/>
      <c r="F1153" s="91"/>
      <c r="G1153" s="93"/>
      <c r="L1153" s="92"/>
      <c r="R1153" s="94"/>
    </row>
    <row r="1154" spans="1:18" s="7" customFormat="1" ht="55.5" x14ac:dyDescent="0.75">
      <c r="A1154" s="91"/>
      <c r="B1154" s="92"/>
      <c r="C1154" s="92"/>
      <c r="D1154" s="190"/>
      <c r="F1154" s="91"/>
      <c r="G1154" s="93"/>
      <c r="L1154" s="92"/>
      <c r="R1154" s="94"/>
    </row>
    <row r="1155" spans="1:18" s="7" customFormat="1" ht="55.5" x14ac:dyDescent="0.75">
      <c r="A1155" s="91"/>
      <c r="B1155" s="92"/>
      <c r="C1155" s="92"/>
      <c r="D1155" s="190"/>
      <c r="F1155" s="91"/>
      <c r="G1155" s="93"/>
      <c r="L1155" s="92"/>
      <c r="R1155" s="94"/>
    </row>
    <row r="1156" spans="1:18" s="7" customFormat="1" ht="55.5" x14ac:dyDescent="0.75">
      <c r="A1156" s="91"/>
      <c r="B1156" s="92"/>
      <c r="C1156" s="92"/>
      <c r="D1156" s="190"/>
      <c r="F1156" s="91"/>
      <c r="G1156" s="93"/>
      <c r="L1156" s="92"/>
      <c r="R1156" s="94"/>
    </row>
    <row r="1157" spans="1:18" s="7" customFormat="1" ht="55.5" x14ac:dyDescent="0.75">
      <c r="A1157" s="91"/>
      <c r="B1157" s="92"/>
      <c r="C1157" s="92"/>
      <c r="D1157" s="190"/>
      <c r="F1157" s="91"/>
      <c r="G1157" s="93"/>
      <c r="L1157" s="92"/>
      <c r="R1157" s="94"/>
    </row>
    <row r="1158" spans="1:18" s="7" customFormat="1" ht="55.5" x14ac:dyDescent="0.75">
      <c r="A1158" s="91"/>
      <c r="B1158" s="92"/>
      <c r="C1158" s="92"/>
      <c r="D1158" s="190"/>
      <c r="F1158" s="91"/>
      <c r="G1158" s="93"/>
      <c r="L1158" s="92"/>
      <c r="R1158" s="94"/>
    </row>
    <row r="1159" spans="1:18" s="7" customFormat="1" ht="55.5" x14ac:dyDescent="0.75">
      <c r="A1159" s="91"/>
      <c r="B1159" s="92"/>
      <c r="C1159" s="92"/>
      <c r="D1159" s="190"/>
      <c r="F1159" s="91"/>
      <c r="G1159" s="93"/>
      <c r="L1159" s="92"/>
      <c r="R1159" s="94"/>
    </row>
    <row r="1160" spans="1:18" s="7" customFormat="1" ht="55.5" x14ac:dyDescent="0.75">
      <c r="A1160" s="91"/>
      <c r="B1160" s="92"/>
      <c r="C1160" s="92"/>
      <c r="D1160" s="190"/>
      <c r="F1160" s="91"/>
      <c r="G1160" s="93"/>
      <c r="L1160" s="92"/>
      <c r="R1160" s="94"/>
    </row>
    <row r="1161" spans="1:18" s="7" customFormat="1" ht="55.5" x14ac:dyDescent="0.75">
      <c r="A1161" s="91"/>
      <c r="B1161" s="92"/>
      <c r="C1161" s="92"/>
      <c r="D1161" s="190"/>
      <c r="F1161" s="91"/>
      <c r="G1161" s="93"/>
      <c r="L1161" s="92"/>
      <c r="R1161" s="94"/>
    </row>
    <row r="1162" spans="1:18" s="7" customFormat="1" ht="55.5" x14ac:dyDescent="0.75">
      <c r="A1162" s="91"/>
      <c r="B1162" s="92"/>
      <c r="C1162" s="92"/>
      <c r="D1162" s="190"/>
      <c r="F1162" s="91"/>
      <c r="G1162" s="93"/>
      <c r="L1162" s="92"/>
      <c r="R1162" s="94"/>
    </row>
    <row r="1163" spans="1:18" s="7" customFormat="1" ht="55.5" x14ac:dyDescent="0.75">
      <c r="A1163" s="91"/>
      <c r="B1163" s="92"/>
      <c r="C1163" s="92"/>
      <c r="D1163" s="190"/>
      <c r="F1163" s="91"/>
      <c r="G1163" s="93"/>
      <c r="L1163" s="92"/>
      <c r="R1163" s="94"/>
    </row>
    <row r="1164" spans="1:18" s="7" customFormat="1" ht="55.5" x14ac:dyDescent="0.75">
      <c r="A1164" s="91"/>
      <c r="B1164" s="92"/>
      <c r="C1164" s="92"/>
      <c r="D1164" s="190"/>
      <c r="F1164" s="91"/>
      <c r="G1164" s="93"/>
      <c r="L1164" s="92"/>
      <c r="R1164" s="94"/>
    </row>
    <row r="1165" spans="1:18" s="7" customFormat="1" ht="55.5" x14ac:dyDescent="0.75">
      <c r="A1165" s="91"/>
      <c r="B1165" s="92"/>
      <c r="C1165" s="92"/>
      <c r="D1165" s="190"/>
      <c r="F1165" s="91"/>
      <c r="G1165" s="93"/>
      <c r="L1165" s="92"/>
      <c r="R1165" s="94"/>
    </row>
    <row r="1166" spans="1:18" s="7" customFormat="1" ht="55.5" x14ac:dyDescent="0.75">
      <c r="A1166" s="91"/>
      <c r="B1166" s="92"/>
      <c r="C1166" s="92"/>
      <c r="D1166" s="190"/>
      <c r="F1166" s="91"/>
      <c r="G1166" s="93"/>
      <c r="L1166" s="92"/>
      <c r="R1166" s="94"/>
    </row>
    <row r="1167" spans="1:18" s="7" customFormat="1" ht="55.5" x14ac:dyDescent="0.75">
      <c r="A1167" s="91"/>
      <c r="B1167" s="92"/>
      <c r="C1167" s="92"/>
      <c r="D1167" s="190"/>
      <c r="F1167" s="91"/>
      <c r="G1167" s="93"/>
      <c r="L1167" s="92"/>
      <c r="R1167" s="94"/>
    </row>
    <row r="1168" spans="1:18" s="7" customFormat="1" ht="55.5" x14ac:dyDescent="0.75">
      <c r="A1168" s="91"/>
      <c r="B1168" s="92"/>
      <c r="C1168" s="92"/>
      <c r="D1168" s="190"/>
      <c r="F1168" s="91"/>
      <c r="G1168" s="93"/>
      <c r="L1168" s="92"/>
      <c r="R1168" s="94"/>
    </row>
    <row r="1169" spans="1:18" s="7" customFormat="1" ht="55.5" x14ac:dyDescent="0.75">
      <c r="A1169" s="91"/>
      <c r="B1169" s="92"/>
      <c r="C1169" s="92"/>
      <c r="D1169" s="190"/>
      <c r="F1169" s="91"/>
      <c r="G1169" s="93"/>
      <c r="L1169" s="92"/>
      <c r="R1169" s="94"/>
    </row>
    <row r="1170" spans="1:18" s="7" customFormat="1" ht="55.5" x14ac:dyDescent="0.75">
      <c r="A1170" s="91"/>
      <c r="B1170" s="92"/>
      <c r="C1170" s="92"/>
      <c r="D1170" s="190"/>
      <c r="F1170" s="91"/>
      <c r="G1170" s="93"/>
      <c r="L1170" s="92"/>
      <c r="R1170" s="94"/>
    </row>
    <row r="1171" spans="1:18" s="7" customFormat="1" ht="55.5" x14ac:dyDescent="0.75">
      <c r="A1171" s="91"/>
      <c r="B1171" s="92"/>
      <c r="C1171" s="92"/>
      <c r="D1171" s="190"/>
      <c r="F1171" s="91"/>
      <c r="G1171" s="93"/>
      <c r="L1171" s="92"/>
      <c r="R1171" s="94"/>
    </row>
    <row r="1172" spans="1:18" s="7" customFormat="1" ht="55.5" x14ac:dyDescent="0.75">
      <c r="A1172" s="91"/>
      <c r="B1172" s="92"/>
      <c r="C1172" s="92"/>
      <c r="D1172" s="190"/>
      <c r="F1172" s="91"/>
      <c r="G1172" s="93"/>
      <c r="L1172" s="92"/>
      <c r="R1172" s="94"/>
    </row>
    <row r="1173" spans="1:18" s="7" customFormat="1" ht="55.5" x14ac:dyDescent="0.75">
      <c r="A1173" s="91"/>
      <c r="B1173" s="92"/>
      <c r="C1173" s="92"/>
      <c r="D1173" s="190"/>
      <c r="F1173" s="91"/>
      <c r="G1173" s="93"/>
      <c r="L1173" s="92"/>
      <c r="R1173" s="94"/>
    </row>
    <row r="1174" spans="1:18" s="7" customFormat="1" ht="55.5" x14ac:dyDescent="0.75">
      <c r="A1174" s="91"/>
      <c r="B1174" s="92"/>
      <c r="C1174" s="92"/>
      <c r="D1174" s="190"/>
      <c r="F1174" s="91"/>
      <c r="G1174" s="93"/>
      <c r="L1174" s="92"/>
      <c r="R1174" s="94"/>
    </row>
    <row r="1175" spans="1:18" s="7" customFormat="1" ht="55.5" x14ac:dyDescent="0.75">
      <c r="A1175" s="91"/>
      <c r="B1175" s="92"/>
      <c r="C1175" s="92"/>
      <c r="D1175" s="190"/>
      <c r="F1175" s="91"/>
      <c r="G1175" s="93"/>
      <c r="L1175" s="92"/>
      <c r="R1175" s="94"/>
    </row>
    <row r="1176" spans="1:18" s="7" customFormat="1" ht="55.5" x14ac:dyDescent="0.75">
      <c r="A1176" s="91"/>
      <c r="B1176" s="92"/>
      <c r="C1176" s="92"/>
      <c r="D1176" s="190"/>
      <c r="F1176" s="91"/>
      <c r="G1176" s="93"/>
      <c r="L1176" s="92"/>
      <c r="R1176" s="94"/>
    </row>
    <row r="1177" spans="1:18" s="7" customFormat="1" ht="55.5" x14ac:dyDescent="0.75">
      <c r="A1177" s="91"/>
      <c r="B1177" s="92"/>
      <c r="C1177" s="92"/>
      <c r="D1177" s="190"/>
      <c r="F1177" s="91"/>
      <c r="G1177" s="93"/>
      <c r="L1177" s="92"/>
      <c r="R1177" s="94"/>
    </row>
    <row r="1178" spans="1:18" s="7" customFormat="1" ht="55.5" x14ac:dyDescent="0.75">
      <c r="A1178" s="91"/>
      <c r="B1178" s="92"/>
      <c r="C1178" s="92"/>
      <c r="D1178" s="190"/>
      <c r="F1178" s="91"/>
      <c r="G1178" s="93"/>
      <c r="L1178" s="92"/>
      <c r="R1178" s="94"/>
    </row>
    <row r="1179" spans="1:18" s="7" customFormat="1" ht="55.5" x14ac:dyDescent="0.75">
      <c r="A1179" s="91"/>
      <c r="B1179" s="92"/>
      <c r="C1179" s="92"/>
      <c r="D1179" s="190"/>
      <c r="F1179" s="91"/>
      <c r="G1179" s="93"/>
      <c r="L1179" s="92"/>
      <c r="R1179" s="94"/>
    </row>
    <row r="1180" spans="1:18" s="7" customFormat="1" ht="55.5" x14ac:dyDescent="0.75">
      <c r="A1180" s="91"/>
      <c r="B1180" s="92"/>
      <c r="C1180" s="92"/>
      <c r="D1180" s="190"/>
      <c r="F1180" s="91"/>
      <c r="G1180" s="93"/>
      <c r="L1180" s="92"/>
      <c r="R1180" s="94"/>
    </row>
    <row r="1181" spans="1:18" s="7" customFormat="1" ht="55.5" x14ac:dyDescent="0.75">
      <c r="A1181" s="91"/>
      <c r="B1181" s="92"/>
      <c r="C1181" s="92"/>
      <c r="D1181" s="190"/>
      <c r="F1181" s="91"/>
      <c r="G1181" s="93"/>
      <c r="L1181" s="92"/>
      <c r="R1181" s="94"/>
    </row>
    <row r="1182" spans="1:18" s="7" customFormat="1" ht="55.5" x14ac:dyDescent="0.75">
      <c r="A1182" s="91"/>
      <c r="B1182" s="92"/>
      <c r="C1182" s="92"/>
      <c r="D1182" s="190"/>
      <c r="F1182" s="91"/>
      <c r="G1182" s="93"/>
      <c r="L1182" s="92"/>
      <c r="R1182" s="94"/>
    </row>
    <row r="1183" spans="1:18" s="7" customFormat="1" ht="55.5" x14ac:dyDescent="0.75">
      <c r="A1183" s="91"/>
      <c r="B1183" s="92"/>
      <c r="C1183" s="92"/>
      <c r="D1183" s="190"/>
      <c r="F1183" s="91"/>
      <c r="G1183" s="93"/>
      <c r="L1183" s="92"/>
      <c r="R1183" s="94"/>
    </row>
    <row r="1184" spans="1:18" s="7" customFormat="1" ht="55.5" x14ac:dyDescent="0.75">
      <c r="A1184" s="91"/>
      <c r="B1184" s="92"/>
      <c r="C1184" s="92"/>
      <c r="D1184" s="190"/>
      <c r="F1184" s="91"/>
      <c r="G1184" s="93"/>
      <c r="L1184" s="92"/>
      <c r="R1184" s="94"/>
    </row>
    <row r="1185" spans="1:18" s="7" customFormat="1" ht="55.5" x14ac:dyDescent="0.75">
      <c r="A1185" s="91"/>
      <c r="B1185" s="92"/>
      <c r="C1185" s="92"/>
      <c r="D1185" s="190"/>
      <c r="F1185" s="91"/>
      <c r="G1185" s="93"/>
      <c r="L1185" s="92"/>
      <c r="R1185" s="94"/>
    </row>
    <row r="1186" spans="1:18" s="7" customFormat="1" ht="55.5" x14ac:dyDescent="0.75">
      <c r="A1186" s="91"/>
      <c r="B1186" s="92"/>
      <c r="C1186" s="92"/>
      <c r="D1186" s="190"/>
      <c r="F1186" s="91"/>
      <c r="G1186" s="93"/>
      <c r="L1186" s="92"/>
      <c r="R1186" s="94"/>
    </row>
    <row r="1187" spans="1:18" s="7" customFormat="1" ht="55.5" x14ac:dyDescent="0.75">
      <c r="A1187" s="91"/>
      <c r="B1187" s="92"/>
      <c r="C1187" s="92"/>
      <c r="D1187" s="190"/>
      <c r="F1187" s="91"/>
      <c r="G1187" s="93"/>
      <c r="L1187" s="92"/>
      <c r="R1187" s="94"/>
    </row>
    <row r="1188" spans="1:18" s="7" customFormat="1" ht="55.5" x14ac:dyDescent="0.75">
      <c r="A1188" s="91"/>
      <c r="B1188" s="92"/>
      <c r="C1188" s="92"/>
      <c r="D1188" s="190"/>
      <c r="F1188" s="91"/>
      <c r="G1188" s="93"/>
      <c r="L1188" s="92"/>
      <c r="R1188" s="94"/>
    </row>
    <row r="1189" spans="1:18" s="7" customFormat="1" ht="55.5" x14ac:dyDescent="0.75">
      <c r="A1189" s="91"/>
      <c r="B1189" s="92"/>
      <c r="C1189" s="92"/>
      <c r="D1189" s="190"/>
      <c r="F1189" s="91"/>
      <c r="G1189" s="93"/>
      <c r="L1189" s="92"/>
      <c r="R1189" s="94"/>
    </row>
    <row r="1190" spans="1:18" s="7" customFormat="1" ht="55.5" x14ac:dyDescent="0.75">
      <c r="A1190" s="91"/>
      <c r="B1190" s="92"/>
      <c r="C1190" s="92"/>
      <c r="D1190" s="190"/>
      <c r="F1190" s="91"/>
      <c r="G1190" s="93"/>
      <c r="L1190" s="92"/>
      <c r="R1190" s="94"/>
    </row>
    <row r="1191" spans="1:18" s="7" customFormat="1" ht="55.5" x14ac:dyDescent="0.75">
      <c r="A1191" s="91"/>
      <c r="B1191" s="92"/>
      <c r="C1191" s="92"/>
      <c r="D1191" s="190"/>
      <c r="F1191" s="91"/>
      <c r="G1191" s="93"/>
      <c r="L1191" s="92"/>
      <c r="R1191" s="94"/>
    </row>
    <row r="1192" spans="1:18" s="7" customFormat="1" ht="55.5" x14ac:dyDescent="0.75">
      <c r="A1192" s="91"/>
      <c r="B1192" s="92"/>
      <c r="C1192" s="92"/>
      <c r="D1192" s="190"/>
      <c r="F1192" s="91"/>
      <c r="G1192" s="93"/>
      <c r="L1192" s="92"/>
      <c r="R1192" s="94"/>
    </row>
    <row r="1193" spans="1:18" s="7" customFormat="1" ht="55.5" x14ac:dyDescent="0.75">
      <c r="A1193" s="91"/>
      <c r="B1193" s="92"/>
      <c r="C1193" s="92"/>
      <c r="D1193" s="190"/>
      <c r="F1193" s="91"/>
      <c r="G1193" s="93"/>
      <c r="L1193" s="92"/>
      <c r="R1193" s="94"/>
    </row>
    <row r="1194" spans="1:18" s="7" customFormat="1" ht="55.5" x14ac:dyDescent="0.75">
      <c r="A1194" s="91"/>
      <c r="B1194" s="92"/>
      <c r="C1194" s="92"/>
      <c r="D1194" s="190"/>
      <c r="F1194" s="91"/>
      <c r="G1194" s="93"/>
      <c r="L1194" s="92"/>
      <c r="R1194" s="94"/>
    </row>
    <row r="1195" spans="1:18" s="7" customFormat="1" ht="55.5" x14ac:dyDescent="0.75">
      <c r="A1195" s="91"/>
      <c r="B1195" s="92"/>
      <c r="C1195" s="92"/>
      <c r="D1195" s="190"/>
      <c r="F1195" s="91"/>
      <c r="G1195" s="93"/>
      <c r="L1195" s="92"/>
      <c r="R1195" s="94"/>
    </row>
    <row r="1196" spans="1:18" s="7" customFormat="1" ht="55.5" x14ac:dyDescent="0.75">
      <c r="A1196" s="91"/>
      <c r="B1196" s="92"/>
      <c r="C1196" s="92"/>
      <c r="D1196" s="190"/>
      <c r="F1196" s="91"/>
      <c r="G1196" s="93"/>
      <c r="L1196" s="92"/>
      <c r="R1196" s="94"/>
    </row>
    <row r="1197" spans="1:18" s="7" customFormat="1" ht="55.5" x14ac:dyDescent="0.75">
      <c r="A1197" s="91"/>
      <c r="B1197" s="92"/>
      <c r="C1197" s="92"/>
      <c r="D1197" s="190"/>
      <c r="F1197" s="91"/>
      <c r="G1197" s="93"/>
      <c r="L1197" s="92"/>
      <c r="R1197" s="94"/>
    </row>
    <row r="1198" spans="1:18" s="7" customFormat="1" ht="55.5" x14ac:dyDescent="0.75">
      <c r="A1198" s="91"/>
      <c r="B1198" s="92"/>
      <c r="C1198" s="92"/>
      <c r="D1198" s="190"/>
      <c r="F1198" s="91"/>
      <c r="G1198" s="93"/>
      <c r="L1198" s="92"/>
      <c r="R1198" s="94"/>
    </row>
    <row r="1199" spans="1:18" s="7" customFormat="1" ht="55.5" x14ac:dyDescent="0.75">
      <c r="A1199" s="91"/>
      <c r="B1199" s="92"/>
      <c r="C1199" s="92"/>
      <c r="D1199" s="190"/>
      <c r="F1199" s="91"/>
      <c r="G1199" s="93"/>
      <c r="L1199" s="92"/>
      <c r="R1199" s="94"/>
    </row>
    <row r="1200" spans="1:18" s="7" customFormat="1" ht="55.5" x14ac:dyDescent="0.75">
      <c r="A1200" s="91"/>
      <c r="B1200" s="92"/>
      <c r="C1200" s="92"/>
      <c r="D1200" s="190"/>
      <c r="F1200" s="91"/>
      <c r="G1200" s="93"/>
      <c r="L1200" s="92"/>
      <c r="R1200" s="94"/>
    </row>
    <row r="1201" spans="1:18" s="7" customFormat="1" ht="55.5" x14ac:dyDescent="0.75">
      <c r="A1201" s="91"/>
      <c r="B1201" s="92"/>
      <c r="C1201" s="92"/>
      <c r="D1201" s="190"/>
      <c r="F1201" s="91"/>
      <c r="G1201" s="93"/>
      <c r="L1201" s="92"/>
      <c r="R1201" s="94"/>
    </row>
    <row r="1202" spans="1:18" s="7" customFormat="1" ht="55.5" x14ac:dyDescent="0.75">
      <c r="A1202" s="91"/>
      <c r="B1202" s="92"/>
      <c r="C1202" s="92"/>
      <c r="D1202" s="190"/>
      <c r="F1202" s="91"/>
      <c r="G1202" s="93"/>
      <c r="L1202" s="92"/>
      <c r="R1202" s="94"/>
    </row>
    <row r="1203" spans="1:18" s="7" customFormat="1" ht="55.5" x14ac:dyDescent="0.75">
      <c r="A1203" s="91"/>
      <c r="B1203" s="92"/>
      <c r="C1203" s="92"/>
      <c r="D1203" s="190"/>
      <c r="F1203" s="91"/>
      <c r="G1203" s="93"/>
      <c r="L1203" s="92"/>
      <c r="R1203" s="94"/>
    </row>
    <row r="1204" spans="1:18" s="7" customFormat="1" ht="55.5" x14ac:dyDescent="0.75">
      <c r="A1204" s="91"/>
      <c r="B1204" s="92"/>
      <c r="C1204" s="92"/>
      <c r="D1204" s="190"/>
      <c r="F1204" s="91"/>
      <c r="G1204" s="93"/>
      <c r="L1204" s="92"/>
      <c r="R1204" s="94"/>
    </row>
    <row r="1205" spans="1:18" s="7" customFormat="1" ht="55.5" x14ac:dyDescent="0.75">
      <c r="A1205" s="91"/>
      <c r="B1205" s="92"/>
      <c r="C1205" s="92"/>
      <c r="D1205" s="190"/>
      <c r="F1205" s="91"/>
      <c r="G1205" s="93"/>
      <c r="L1205" s="92"/>
      <c r="R1205" s="94"/>
    </row>
    <row r="1206" spans="1:18" s="7" customFormat="1" ht="55.5" x14ac:dyDescent="0.75">
      <c r="A1206" s="91"/>
      <c r="B1206" s="92"/>
      <c r="C1206" s="92"/>
      <c r="D1206" s="190"/>
      <c r="F1206" s="91"/>
      <c r="G1206" s="93"/>
      <c r="L1206" s="92"/>
      <c r="R1206" s="94"/>
    </row>
    <row r="1207" spans="1:18" s="7" customFormat="1" ht="55.5" x14ac:dyDescent="0.75">
      <c r="A1207" s="91"/>
      <c r="B1207" s="92"/>
      <c r="C1207" s="92"/>
      <c r="D1207" s="190"/>
      <c r="F1207" s="91"/>
      <c r="G1207" s="93"/>
      <c r="L1207" s="92"/>
      <c r="R1207" s="94"/>
    </row>
    <row r="1208" spans="1:18" s="7" customFormat="1" ht="55.5" x14ac:dyDescent="0.75">
      <c r="A1208" s="91"/>
      <c r="B1208" s="92"/>
      <c r="C1208" s="92"/>
      <c r="D1208" s="190"/>
      <c r="F1208" s="91"/>
      <c r="G1208" s="93"/>
      <c r="L1208" s="92"/>
      <c r="R1208" s="94"/>
    </row>
    <row r="1209" spans="1:18" s="7" customFormat="1" ht="55.5" x14ac:dyDescent="0.75">
      <c r="A1209" s="91"/>
      <c r="B1209" s="92"/>
      <c r="C1209" s="92"/>
      <c r="D1209" s="190"/>
      <c r="F1209" s="91"/>
      <c r="G1209" s="93"/>
      <c r="L1209" s="92"/>
      <c r="R1209" s="94"/>
    </row>
    <row r="1210" spans="1:18" s="7" customFormat="1" ht="55.5" x14ac:dyDescent="0.75">
      <c r="A1210" s="91"/>
      <c r="B1210" s="92"/>
      <c r="C1210" s="92"/>
      <c r="D1210" s="190"/>
      <c r="F1210" s="91"/>
      <c r="G1210" s="93"/>
      <c r="L1210" s="92"/>
      <c r="R1210" s="94"/>
    </row>
    <row r="1211" spans="1:18" s="7" customFormat="1" ht="55.5" x14ac:dyDescent="0.75">
      <c r="A1211" s="91"/>
      <c r="B1211" s="92"/>
      <c r="C1211" s="92"/>
      <c r="D1211" s="190"/>
      <c r="F1211" s="91"/>
      <c r="G1211" s="93"/>
      <c r="L1211" s="92"/>
      <c r="R1211" s="94"/>
    </row>
    <row r="1212" spans="1:18" s="7" customFormat="1" ht="55.5" x14ac:dyDescent="0.75">
      <c r="A1212" s="91"/>
      <c r="B1212" s="92"/>
      <c r="C1212" s="92"/>
      <c r="D1212" s="190"/>
      <c r="F1212" s="91"/>
      <c r="G1212" s="93"/>
      <c r="L1212" s="92"/>
      <c r="R1212" s="94"/>
    </row>
    <row r="1213" spans="1:18" s="7" customFormat="1" ht="55.5" x14ac:dyDescent="0.75">
      <c r="A1213" s="91"/>
      <c r="B1213" s="92"/>
      <c r="C1213" s="92"/>
      <c r="D1213" s="190"/>
      <c r="F1213" s="91"/>
      <c r="G1213" s="93"/>
      <c r="L1213" s="92"/>
      <c r="R1213" s="94"/>
    </row>
    <row r="1214" spans="1:18" s="7" customFormat="1" ht="55.5" x14ac:dyDescent="0.75">
      <c r="A1214" s="91"/>
      <c r="B1214" s="92"/>
      <c r="C1214" s="92"/>
      <c r="D1214" s="190"/>
      <c r="F1214" s="91"/>
      <c r="G1214" s="93"/>
      <c r="L1214" s="92"/>
      <c r="R1214" s="94"/>
    </row>
    <row r="1215" spans="1:18" s="7" customFormat="1" ht="55.5" x14ac:dyDescent="0.75">
      <c r="A1215" s="91"/>
      <c r="B1215" s="92"/>
      <c r="C1215" s="92"/>
      <c r="D1215" s="190"/>
      <c r="F1215" s="91"/>
      <c r="G1215" s="93"/>
      <c r="L1215" s="92"/>
      <c r="R1215" s="94"/>
    </row>
    <row r="1216" spans="1:18" s="7" customFormat="1" ht="55.5" x14ac:dyDescent="0.75">
      <c r="A1216" s="91"/>
      <c r="B1216" s="92"/>
      <c r="C1216" s="92"/>
      <c r="D1216" s="190"/>
      <c r="F1216" s="91"/>
      <c r="G1216" s="93"/>
      <c r="L1216" s="92"/>
      <c r="R1216" s="94"/>
    </row>
    <row r="1217" spans="1:18" s="7" customFormat="1" ht="55.5" x14ac:dyDescent="0.75">
      <c r="A1217" s="91"/>
      <c r="B1217" s="92"/>
      <c r="C1217" s="92"/>
      <c r="D1217" s="190"/>
      <c r="F1217" s="91"/>
      <c r="G1217" s="93"/>
      <c r="L1217" s="92"/>
      <c r="R1217" s="94"/>
    </row>
    <row r="1218" spans="1:18" s="7" customFormat="1" ht="55.5" x14ac:dyDescent="0.75">
      <c r="A1218" s="91"/>
      <c r="B1218" s="92"/>
      <c r="C1218" s="92"/>
      <c r="D1218" s="190"/>
      <c r="F1218" s="91"/>
      <c r="G1218" s="93"/>
      <c r="L1218" s="92"/>
      <c r="R1218" s="94"/>
    </row>
    <row r="1219" spans="1:18" s="7" customFormat="1" ht="55.5" x14ac:dyDescent="0.75">
      <c r="A1219" s="91"/>
      <c r="B1219" s="92"/>
      <c r="C1219" s="92"/>
      <c r="D1219" s="190"/>
      <c r="F1219" s="91"/>
      <c r="G1219" s="93"/>
      <c r="L1219" s="92"/>
      <c r="R1219" s="94"/>
    </row>
    <row r="1220" spans="1:18" s="7" customFormat="1" ht="55.5" x14ac:dyDescent="0.75">
      <c r="A1220" s="91"/>
      <c r="B1220" s="92"/>
      <c r="C1220" s="92"/>
      <c r="D1220" s="190"/>
      <c r="F1220" s="91"/>
      <c r="G1220" s="93"/>
      <c r="L1220" s="92"/>
      <c r="R1220" s="94"/>
    </row>
    <row r="1221" spans="1:18" s="7" customFormat="1" ht="55.5" x14ac:dyDescent="0.75">
      <c r="A1221" s="91"/>
      <c r="B1221" s="92"/>
      <c r="C1221" s="92"/>
      <c r="D1221" s="190"/>
      <c r="F1221" s="91"/>
      <c r="G1221" s="93"/>
      <c r="L1221" s="92"/>
      <c r="R1221" s="94"/>
    </row>
    <row r="1222" spans="1:18" s="7" customFormat="1" ht="55.5" x14ac:dyDescent="0.75">
      <c r="A1222" s="91"/>
      <c r="B1222" s="92"/>
      <c r="C1222" s="92"/>
      <c r="D1222" s="190"/>
      <c r="F1222" s="91"/>
      <c r="G1222" s="93"/>
      <c r="L1222" s="92"/>
      <c r="R1222" s="94"/>
    </row>
    <row r="1223" spans="1:18" s="7" customFormat="1" ht="55.5" x14ac:dyDescent="0.75">
      <c r="A1223" s="91"/>
      <c r="B1223" s="92"/>
      <c r="C1223" s="92"/>
      <c r="D1223" s="190"/>
      <c r="F1223" s="91"/>
      <c r="G1223" s="93"/>
      <c r="L1223" s="92"/>
      <c r="R1223" s="94"/>
    </row>
    <row r="1224" spans="1:18" s="7" customFormat="1" ht="55.5" x14ac:dyDescent="0.75">
      <c r="A1224" s="91"/>
      <c r="B1224" s="92"/>
      <c r="C1224" s="92"/>
      <c r="D1224" s="190"/>
      <c r="F1224" s="91"/>
      <c r="G1224" s="93"/>
      <c r="L1224" s="92"/>
      <c r="R1224" s="94"/>
    </row>
    <row r="1225" spans="1:18" s="7" customFormat="1" ht="55.5" x14ac:dyDescent="0.75">
      <c r="A1225" s="91"/>
      <c r="B1225" s="92"/>
      <c r="C1225" s="92"/>
      <c r="D1225" s="190"/>
      <c r="F1225" s="91"/>
      <c r="G1225" s="93"/>
      <c r="L1225" s="92"/>
      <c r="R1225" s="94"/>
    </row>
    <row r="1226" spans="1:18" s="7" customFormat="1" ht="55.5" x14ac:dyDescent="0.75">
      <c r="A1226" s="91"/>
      <c r="B1226" s="92"/>
      <c r="C1226" s="92"/>
      <c r="D1226" s="190"/>
      <c r="F1226" s="91"/>
      <c r="G1226" s="93"/>
      <c r="L1226" s="92"/>
      <c r="R1226" s="94"/>
    </row>
    <row r="1227" spans="1:18" s="7" customFormat="1" ht="55.5" x14ac:dyDescent="0.75">
      <c r="A1227" s="91"/>
      <c r="B1227" s="92"/>
      <c r="C1227" s="92"/>
      <c r="D1227" s="190"/>
      <c r="F1227" s="91"/>
      <c r="G1227" s="93"/>
      <c r="L1227" s="92"/>
      <c r="R1227" s="94"/>
    </row>
    <row r="1228" spans="1:18" s="7" customFormat="1" ht="55.5" x14ac:dyDescent="0.75">
      <c r="A1228" s="91"/>
      <c r="B1228" s="92"/>
      <c r="C1228" s="92"/>
      <c r="D1228" s="190"/>
      <c r="F1228" s="91"/>
      <c r="G1228" s="93"/>
      <c r="L1228" s="92"/>
      <c r="R1228" s="94"/>
    </row>
    <row r="1229" spans="1:18" s="7" customFormat="1" ht="55.5" x14ac:dyDescent="0.75">
      <c r="A1229" s="91"/>
      <c r="B1229" s="92"/>
      <c r="C1229" s="92"/>
      <c r="D1229" s="190"/>
      <c r="F1229" s="91"/>
      <c r="G1229" s="93"/>
      <c r="L1229" s="92"/>
      <c r="R1229" s="94"/>
    </row>
    <row r="1230" spans="1:18" s="7" customFormat="1" ht="55.5" x14ac:dyDescent="0.75">
      <c r="A1230" s="91"/>
      <c r="B1230" s="92"/>
      <c r="C1230" s="92"/>
      <c r="D1230" s="190"/>
      <c r="F1230" s="91"/>
      <c r="G1230" s="93"/>
      <c r="L1230" s="92"/>
      <c r="R1230" s="94"/>
    </row>
    <row r="1231" spans="1:18" s="7" customFormat="1" ht="55.5" x14ac:dyDescent="0.75">
      <c r="A1231" s="91"/>
      <c r="B1231" s="92"/>
      <c r="C1231" s="92"/>
      <c r="D1231" s="190"/>
      <c r="F1231" s="91"/>
      <c r="G1231" s="93"/>
      <c r="L1231" s="92"/>
      <c r="R1231" s="94"/>
    </row>
    <row r="1232" spans="1:18" s="7" customFormat="1" ht="55.5" x14ac:dyDescent="0.75">
      <c r="A1232" s="91"/>
      <c r="B1232" s="92"/>
      <c r="C1232" s="92"/>
      <c r="D1232" s="190"/>
      <c r="F1232" s="91"/>
      <c r="G1232" s="93"/>
      <c r="L1232" s="92"/>
      <c r="R1232" s="94"/>
    </row>
    <row r="1233" spans="1:18" s="7" customFormat="1" ht="55.5" x14ac:dyDescent="0.75">
      <c r="A1233" s="91"/>
      <c r="B1233" s="92"/>
      <c r="C1233" s="92"/>
      <c r="D1233" s="190"/>
      <c r="F1233" s="91"/>
      <c r="G1233" s="93"/>
      <c r="L1233" s="92"/>
      <c r="R1233" s="94"/>
    </row>
    <row r="1234" spans="1:18" s="7" customFormat="1" ht="55.5" x14ac:dyDescent="0.75">
      <c r="A1234" s="91"/>
      <c r="B1234" s="92"/>
      <c r="C1234" s="92"/>
      <c r="D1234" s="190"/>
      <c r="F1234" s="91"/>
      <c r="G1234" s="93"/>
      <c r="L1234" s="92"/>
      <c r="R1234" s="94"/>
    </row>
    <row r="1235" spans="1:18" s="7" customFormat="1" ht="55.5" x14ac:dyDescent="0.75">
      <c r="A1235" s="91"/>
      <c r="B1235" s="92"/>
      <c r="C1235" s="92"/>
      <c r="D1235" s="190"/>
      <c r="F1235" s="91"/>
      <c r="G1235" s="93"/>
      <c r="L1235" s="92"/>
      <c r="R1235" s="94"/>
    </row>
    <row r="1236" spans="1:18" s="7" customFormat="1" ht="55.5" x14ac:dyDescent="0.75">
      <c r="A1236" s="91"/>
      <c r="B1236" s="92"/>
      <c r="C1236" s="92"/>
      <c r="D1236" s="190"/>
      <c r="F1236" s="91"/>
      <c r="G1236" s="93"/>
      <c r="L1236" s="92"/>
      <c r="R1236" s="94"/>
    </row>
    <row r="1237" spans="1:18" s="7" customFormat="1" ht="55.5" x14ac:dyDescent="0.75">
      <c r="A1237" s="91"/>
      <c r="B1237" s="92"/>
      <c r="C1237" s="92"/>
      <c r="D1237" s="190"/>
      <c r="F1237" s="91"/>
      <c r="G1237" s="93"/>
      <c r="L1237" s="92"/>
      <c r="R1237" s="94"/>
    </row>
    <row r="1238" spans="1:18" s="7" customFormat="1" ht="55.5" x14ac:dyDescent="0.75">
      <c r="A1238" s="91"/>
      <c r="B1238" s="92"/>
      <c r="C1238" s="92"/>
      <c r="D1238" s="190"/>
      <c r="F1238" s="91"/>
      <c r="G1238" s="93"/>
      <c r="L1238" s="92"/>
      <c r="R1238" s="94"/>
    </row>
    <row r="1239" spans="1:18" s="7" customFormat="1" ht="55.5" x14ac:dyDescent="0.75">
      <c r="A1239" s="91"/>
      <c r="B1239" s="92"/>
      <c r="C1239" s="92"/>
      <c r="D1239" s="190"/>
      <c r="F1239" s="91"/>
      <c r="G1239" s="93"/>
      <c r="L1239" s="92"/>
      <c r="R1239" s="94"/>
    </row>
    <row r="1240" spans="1:18" s="7" customFormat="1" ht="55.5" x14ac:dyDescent="0.75">
      <c r="A1240" s="91"/>
      <c r="B1240" s="92"/>
      <c r="C1240" s="92"/>
      <c r="D1240" s="190"/>
      <c r="F1240" s="91"/>
      <c r="G1240" s="93"/>
      <c r="L1240" s="92"/>
      <c r="R1240" s="94"/>
    </row>
    <row r="1241" spans="1:18" s="7" customFormat="1" ht="55.5" x14ac:dyDescent="0.75">
      <c r="A1241" s="91"/>
      <c r="B1241" s="92"/>
      <c r="C1241" s="92"/>
      <c r="D1241" s="190"/>
      <c r="F1241" s="91"/>
      <c r="G1241" s="93"/>
      <c r="L1241" s="92"/>
      <c r="R1241" s="94"/>
    </row>
    <row r="1242" spans="1:18" s="7" customFormat="1" ht="55.5" x14ac:dyDescent="0.75">
      <c r="A1242" s="91"/>
      <c r="B1242" s="92"/>
      <c r="C1242" s="92"/>
      <c r="D1242" s="190"/>
      <c r="F1242" s="91"/>
      <c r="G1242" s="93"/>
      <c r="L1242" s="92"/>
      <c r="R1242" s="94"/>
    </row>
    <row r="1243" spans="1:18" s="7" customFormat="1" ht="55.5" x14ac:dyDescent="0.75">
      <c r="A1243" s="91"/>
      <c r="B1243" s="92"/>
      <c r="C1243" s="92"/>
      <c r="D1243" s="190"/>
      <c r="F1243" s="91"/>
      <c r="G1243" s="93"/>
      <c r="L1243" s="92"/>
      <c r="R1243" s="94"/>
    </row>
    <row r="1244" spans="1:18" s="7" customFormat="1" ht="55.5" x14ac:dyDescent="0.75">
      <c r="A1244" s="91"/>
      <c r="B1244" s="92"/>
      <c r="C1244" s="92"/>
      <c r="D1244" s="190"/>
      <c r="F1244" s="91"/>
      <c r="G1244" s="93"/>
      <c r="L1244" s="92"/>
      <c r="R1244" s="94"/>
    </row>
    <row r="1245" spans="1:18" s="7" customFormat="1" ht="55.5" x14ac:dyDescent="0.75">
      <c r="A1245" s="91"/>
      <c r="B1245" s="92"/>
      <c r="C1245" s="92"/>
      <c r="D1245" s="190"/>
      <c r="F1245" s="91"/>
      <c r="G1245" s="93"/>
      <c r="L1245" s="92"/>
      <c r="R1245" s="94"/>
    </row>
    <row r="1246" spans="1:18" s="7" customFormat="1" ht="55.5" x14ac:dyDescent="0.75">
      <c r="A1246" s="91"/>
      <c r="B1246" s="92"/>
      <c r="C1246" s="92"/>
      <c r="D1246" s="190"/>
      <c r="F1246" s="91"/>
      <c r="G1246" s="93"/>
      <c r="L1246" s="92"/>
      <c r="R1246" s="94"/>
    </row>
    <row r="1247" spans="1:18" s="7" customFormat="1" ht="55.5" x14ac:dyDescent="0.75">
      <c r="A1247" s="91"/>
      <c r="B1247" s="92"/>
      <c r="C1247" s="92"/>
      <c r="D1247" s="190"/>
      <c r="F1247" s="91"/>
      <c r="G1247" s="93"/>
      <c r="L1247" s="92"/>
      <c r="R1247" s="94"/>
    </row>
    <row r="1248" spans="1:18" s="7" customFormat="1" ht="55.5" x14ac:dyDescent="0.75">
      <c r="A1248" s="91"/>
      <c r="B1248" s="92"/>
      <c r="C1248" s="92"/>
      <c r="D1248" s="190"/>
      <c r="F1248" s="91"/>
      <c r="G1248" s="93"/>
      <c r="L1248" s="92"/>
      <c r="R1248" s="94"/>
    </row>
    <row r="1249" spans="1:18" s="7" customFormat="1" ht="55.5" x14ac:dyDescent="0.75">
      <c r="A1249" s="91"/>
      <c r="B1249" s="92"/>
      <c r="C1249" s="92"/>
      <c r="D1249" s="190"/>
      <c r="F1249" s="91"/>
      <c r="G1249" s="93"/>
      <c r="L1249" s="92"/>
      <c r="R1249" s="94"/>
    </row>
    <row r="1250" spans="1:18" s="7" customFormat="1" ht="55.5" x14ac:dyDescent="0.75">
      <c r="A1250" s="91"/>
      <c r="B1250" s="92"/>
      <c r="C1250" s="92"/>
      <c r="D1250" s="190"/>
      <c r="F1250" s="91"/>
      <c r="G1250" s="93"/>
      <c r="L1250" s="92"/>
      <c r="R1250" s="94"/>
    </row>
    <row r="1251" spans="1:18" s="7" customFormat="1" ht="55.5" x14ac:dyDescent="0.75">
      <c r="A1251" s="91"/>
      <c r="B1251" s="92"/>
      <c r="C1251" s="92"/>
      <c r="D1251" s="190"/>
      <c r="F1251" s="91"/>
      <c r="G1251" s="93"/>
      <c r="L1251" s="92"/>
      <c r="R1251" s="94"/>
    </row>
    <row r="1252" spans="1:18" s="7" customFormat="1" ht="55.5" x14ac:dyDescent="0.75">
      <c r="A1252" s="91"/>
      <c r="B1252" s="92"/>
      <c r="C1252" s="92"/>
      <c r="D1252" s="190"/>
      <c r="F1252" s="91"/>
      <c r="G1252" s="93"/>
      <c r="L1252" s="92"/>
      <c r="R1252" s="94"/>
    </row>
    <row r="1253" spans="1:18" s="7" customFormat="1" ht="55.5" x14ac:dyDescent="0.75">
      <c r="A1253" s="91"/>
      <c r="B1253" s="92"/>
      <c r="C1253" s="92"/>
      <c r="D1253" s="190"/>
      <c r="F1253" s="91"/>
      <c r="G1253" s="93"/>
      <c r="L1253" s="92"/>
      <c r="R1253" s="94"/>
    </row>
    <row r="1254" spans="1:18" s="7" customFormat="1" ht="55.5" x14ac:dyDescent="0.75">
      <c r="A1254" s="91"/>
      <c r="B1254" s="92"/>
      <c r="C1254" s="92"/>
      <c r="D1254" s="190"/>
      <c r="F1254" s="91"/>
      <c r="G1254" s="93"/>
      <c r="L1254" s="92"/>
      <c r="R1254" s="94"/>
    </row>
    <row r="1255" spans="1:18" s="7" customFormat="1" ht="55.5" x14ac:dyDescent="0.75">
      <c r="A1255" s="91"/>
      <c r="B1255" s="92"/>
      <c r="C1255" s="92"/>
      <c r="D1255" s="190"/>
      <c r="F1255" s="91"/>
      <c r="G1255" s="93"/>
      <c r="L1255" s="92"/>
      <c r="R1255" s="94"/>
    </row>
    <row r="1256" spans="1:18" s="7" customFormat="1" ht="55.5" x14ac:dyDescent="0.75">
      <c r="A1256" s="91"/>
      <c r="B1256" s="92"/>
      <c r="C1256" s="92"/>
      <c r="D1256" s="190"/>
      <c r="F1256" s="91"/>
      <c r="G1256" s="93"/>
      <c r="L1256" s="92"/>
      <c r="R1256" s="94"/>
    </row>
    <row r="1257" spans="1:18" s="7" customFormat="1" ht="55.5" x14ac:dyDescent="0.75">
      <c r="A1257" s="91"/>
      <c r="B1257" s="92"/>
      <c r="C1257" s="92"/>
      <c r="D1257" s="190"/>
      <c r="F1257" s="91"/>
      <c r="G1257" s="93"/>
      <c r="L1257" s="92"/>
      <c r="R1257" s="94"/>
    </row>
    <row r="1258" spans="1:18" s="7" customFormat="1" ht="55.5" x14ac:dyDescent="0.75">
      <c r="A1258" s="91"/>
      <c r="B1258" s="92"/>
      <c r="C1258" s="92"/>
      <c r="D1258" s="190"/>
      <c r="F1258" s="91"/>
      <c r="G1258" s="93"/>
      <c r="L1258" s="92"/>
      <c r="R1258" s="94"/>
    </row>
    <row r="1259" spans="1:18" s="7" customFormat="1" ht="55.5" x14ac:dyDescent="0.75">
      <c r="A1259" s="91"/>
      <c r="B1259" s="92"/>
      <c r="C1259" s="92"/>
      <c r="D1259" s="190"/>
      <c r="F1259" s="91"/>
      <c r="G1259" s="93"/>
      <c r="L1259" s="92"/>
      <c r="R1259" s="94"/>
    </row>
    <row r="1260" spans="1:18" s="7" customFormat="1" ht="55.5" x14ac:dyDescent="0.75">
      <c r="A1260" s="91"/>
      <c r="B1260" s="92"/>
      <c r="C1260" s="92"/>
      <c r="D1260" s="190"/>
      <c r="F1260" s="91"/>
      <c r="G1260" s="93"/>
      <c r="L1260" s="92"/>
      <c r="R1260" s="94"/>
    </row>
    <row r="1261" spans="1:18" s="7" customFormat="1" ht="55.5" x14ac:dyDescent="0.75">
      <c r="A1261" s="91"/>
      <c r="B1261" s="92"/>
      <c r="C1261" s="92"/>
      <c r="D1261" s="190"/>
      <c r="F1261" s="91"/>
      <c r="G1261" s="93"/>
      <c r="L1261" s="92"/>
      <c r="R1261" s="94"/>
    </row>
    <row r="1262" spans="1:18" s="7" customFormat="1" ht="55.5" x14ac:dyDescent="0.75">
      <c r="A1262" s="91"/>
      <c r="B1262" s="92"/>
      <c r="C1262" s="92"/>
      <c r="D1262" s="190"/>
      <c r="F1262" s="91"/>
      <c r="G1262" s="93"/>
      <c r="L1262" s="92"/>
      <c r="R1262" s="94"/>
    </row>
    <row r="1263" spans="1:18" s="7" customFormat="1" ht="55.5" x14ac:dyDescent="0.75">
      <c r="A1263" s="91"/>
      <c r="B1263" s="92"/>
      <c r="C1263" s="92"/>
      <c r="D1263" s="190"/>
      <c r="F1263" s="91"/>
      <c r="G1263" s="93"/>
      <c r="L1263" s="92"/>
      <c r="R1263" s="94"/>
    </row>
    <row r="1264" spans="1:18" s="7" customFormat="1" ht="55.5" x14ac:dyDescent="0.75">
      <c r="A1264" s="91"/>
      <c r="B1264" s="92"/>
      <c r="C1264" s="92"/>
      <c r="D1264" s="190"/>
      <c r="F1264" s="91"/>
      <c r="G1264" s="93"/>
      <c r="L1264" s="92"/>
      <c r="R1264" s="94"/>
    </row>
    <row r="1265" spans="1:18" s="7" customFormat="1" ht="55.5" x14ac:dyDescent="0.75">
      <c r="A1265" s="91"/>
      <c r="B1265" s="92"/>
      <c r="C1265" s="92"/>
      <c r="D1265" s="190"/>
      <c r="F1265" s="91"/>
      <c r="G1265" s="93"/>
      <c r="L1265" s="92"/>
      <c r="R1265" s="94"/>
    </row>
    <row r="1266" spans="1:18" s="7" customFormat="1" ht="55.5" x14ac:dyDescent="0.75">
      <c r="A1266" s="91"/>
      <c r="B1266" s="92"/>
      <c r="C1266" s="92"/>
      <c r="D1266" s="190"/>
      <c r="F1266" s="91"/>
      <c r="G1266" s="93"/>
      <c r="L1266" s="92"/>
      <c r="R1266" s="94"/>
    </row>
    <row r="1267" spans="1:18" s="7" customFormat="1" ht="55.5" x14ac:dyDescent="0.75">
      <c r="A1267" s="91"/>
      <c r="B1267" s="92"/>
      <c r="C1267" s="92"/>
      <c r="D1267" s="190"/>
      <c r="F1267" s="91"/>
      <c r="G1267" s="93"/>
      <c r="L1267" s="92"/>
      <c r="R1267" s="94"/>
    </row>
    <row r="1268" spans="1:18" s="7" customFormat="1" ht="55.5" x14ac:dyDescent="0.75">
      <c r="A1268" s="91"/>
      <c r="B1268" s="92"/>
      <c r="C1268" s="92"/>
      <c r="D1268" s="190"/>
      <c r="F1268" s="91"/>
      <c r="G1268" s="93"/>
      <c r="L1268" s="92"/>
      <c r="R1268" s="94"/>
    </row>
    <row r="1269" spans="1:18" s="7" customFormat="1" ht="55.5" x14ac:dyDescent="0.75">
      <c r="A1269" s="91"/>
      <c r="B1269" s="92"/>
      <c r="C1269" s="92"/>
      <c r="D1269" s="190"/>
      <c r="F1269" s="91"/>
      <c r="G1269" s="93"/>
      <c r="L1269" s="92"/>
      <c r="R1269" s="94"/>
    </row>
    <row r="1270" spans="1:18" s="7" customFormat="1" ht="55.5" x14ac:dyDescent="0.75">
      <c r="A1270" s="91"/>
      <c r="B1270" s="92"/>
      <c r="C1270" s="92"/>
      <c r="D1270" s="190"/>
      <c r="F1270" s="91"/>
      <c r="G1270" s="93"/>
      <c r="L1270" s="92"/>
      <c r="R1270" s="94"/>
    </row>
    <row r="1271" spans="1:18" s="7" customFormat="1" ht="55.5" x14ac:dyDescent="0.75">
      <c r="A1271" s="91"/>
      <c r="B1271" s="92"/>
      <c r="C1271" s="92"/>
      <c r="D1271" s="190"/>
      <c r="F1271" s="91"/>
      <c r="G1271" s="93"/>
      <c r="L1271" s="92"/>
      <c r="R1271" s="94"/>
    </row>
    <row r="1272" spans="1:18" s="7" customFormat="1" ht="55.5" x14ac:dyDescent="0.75">
      <c r="A1272" s="91"/>
      <c r="B1272" s="92"/>
      <c r="C1272" s="92"/>
      <c r="D1272" s="190"/>
      <c r="F1272" s="91"/>
      <c r="G1272" s="93"/>
      <c r="L1272" s="92"/>
      <c r="R1272" s="94"/>
    </row>
    <row r="1273" spans="1:18" s="7" customFormat="1" ht="55.5" x14ac:dyDescent="0.75">
      <c r="A1273" s="91"/>
      <c r="B1273" s="92"/>
      <c r="C1273" s="92"/>
      <c r="D1273" s="190"/>
      <c r="F1273" s="91"/>
      <c r="G1273" s="93"/>
      <c r="L1273" s="92"/>
      <c r="R1273" s="94"/>
    </row>
    <row r="1274" spans="1:18" s="7" customFormat="1" ht="55.5" x14ac:dyDescent="0.75">
      <c r="A1274" s="91"/>
      <c r="B1274" s="92"/>
      <c r="C1274" s="92"/>
      <c r="D1274" s="190"/>
      <c r="F1274" s="91"/>
      <c r="G1274" s="93"/>
      <c r="L1274" s="92"/>
      <c r="R1274" s="94"/>
    </row>
    <row r="1275" spans="1:18" s="7" customFormat="1" ht="55.5" x14ac:dyDescent="0.75">
      <c r="A1275" s="91"/>
      <c r="B1275" s="92"/>
      <c r="C1275" s="92"/>
      <c r="D1275" s="190"/>
      <c r="F1275" s="91"/>
      <c r="G1275" s="93"/>
      <c r="L1275" s="92"/>
      <c r="R1275" s="94"/>
    </row>
    <row r="1276" spans="1:18" s="7" customFormat="1" ht="55.5" x14ac:dyDescent="0.75">
      <c r="A1276" s="91"/>
      <c r="B1276" s="92"/>
      <c r="C1276" s="92"/>
      <c r="D1276" s="190"/>
      <c r="F1276" s="91"/>
      <c r="G1276" s="93"/>
      <c r="L1276" s="92"/>
      <c r="R1276" s="94"/>
    </row>
    <row r="1277" spans="1:18" s="7" customFormat="1" ht="55.5" x14ac:dyDescent="0.75">
      <c r="A1277" s="91"/>
      <c r="B1277" s="92"/>
      <c r="C1277" s="92"/>
      <c r="D1277" s="190"/>
      <c r="F1277" s="91"/>
      <c r="G1277" s="93"/>
      <c r="L1277" s="92"/>
      <c r="R1277" s="94"/>
    </row>
    <row r="1278" spans="1:18" s="7" customFormat="1" ht="55.5" x14ac:dyDescent="0.75">
      <c r="A1278" s="91"/>
      <c r="B1278" s="92"/>
      <c r="C1278" s="92"/>
      <c r="D1278" s="190"/>
      <c r="F1278" s="91"/>
      <c r="G1278" s="93"/>
      <c r="L1278" s="92"/>
      <c r="R1278" s="94"/>
    </row>
    <row r="1279" spans="1:18" s="7" customFormat="1" ht="55.5" x14ac:dyDescent="0.75">
      <c r="A1279" s="91"/>
      <c r="B1279" s="92"/>
      <c r="C1279" s="92"/>
      <c r="D1279" s="190"/>
      <c r="F1279" s="91"/>
      <c r="G1279" s="93"/>
      <c r="L1279" s="92"/>
      <c r="R1279" s="94"/>
    </row>
    <row r="1280" spans="1:18" s="7" customFormat="1" ht="55.5" x14ac:dyDescent="0.75">
      <c r="A1280" s="91"/>
      <c r="B1280" s="92"/>
      <c r="C1280" s="92"/>
      <c r="D1280" s="190"/>
      <c r="F1280" s="91"/>
      <c r="G1280" s="93"/>
      <c r="L1280" s="92"/>
      <c r="R1280" s="94"/>
    </row>
    <row r="1281" spans="1:18" s="7" customFormat="1" ht="55.5" x14ac:dyDescent="0.75">
      <c r="A1281" s="91"/>
      <c r="B1281" s="92"/>
      <c r="C1281" s="92"/>
      <c r="D1281" s="190"/>
      <c r="F1281" s="91"/>
      <c r="G1281" s="93"/>
      <c r="L1281" s="92"/>
      <c r="R1281" s="94"/>
    </row>
    <row r="1282" spans="1:18" s="7" customFormat="1" ht="55.5" x14ac:dyDescent="0.75">
      <c r="A1282" s="91"/>
      <c r="B1282" s="92"/>
      <c r="C1282" s="92"/>
      <c r="D1282" s="190"/>
      <c r="F1282" s="91"/>
      <c r="G1282" s="93"/>
      <c r="L1282" s="92"/>
      <c r="R1282" s="94"/>
    </row>
    <row r="1283" spans="1:18" s="7" customFormat="1" ht="55.5" x14ac:dyDescent="0.75">
      <c r="A1283" s="91"/>
      <c r="B1283" s="92"/>
      <c r="C1283" s="92"/>
      <c r="D1283" s="190"/>
      <c r="F1283" s="91"/>
      <c r="G1283" s="93"/>
      <c r="L1283" s="92"/>
      <c r="R1283" s="94"/>
    </row>
    <row r="1284" spans="1:18" s="7" customFormat="1" ht="55.5" x14ac:dyDescent="0.75">
      <c r="A1284" s="91"/>
      <c r="B1284" s="92"/>
      <c r="C1284" s="92"/>
      <c r="D1284" s="190"/>
      <c r="F1284" s="91"/>
      <c r="G1284" s="93"/>
      <c r="L1284" s="92"/>
      <c r="R1284" s="94"/>
    </row>
    <row r="1285" spans="1:18" s="7" customFormat="1" ht="55.5" x14ac:dyDescent="0.75">
      <c r="A1285" s="91"/>
      <c r="B1285" s="92"/>
      <c r="C1285" s="92"/>
      <c r="D1285" s="190"/>
      <c r="F1285" s="91"/>
      <c r="G1285" s="93"/>
      <c r="L1285" s="92"/>
      <c r="R1285" s="94"/>
    </row>
    <row r="1286" spans="1:18" s="7" customFormat="1" ht="55.5" x14ac:dyDescent="0.75">
      <c r="A1286" s="91"/>
      <c r="B1286" s="92"/>
      <c r="C1286" s="92"/>
      <c r="D1286" s="190"/>
      <c r="F1286" s="91"/>
      <c r="G1286" s="93"/>
      <c r="L1286" s="92"/>
      <c r="R1286" s="94"/>
    </row>
    <row r="1287" spans="1:18" s="7" customFormat="1" ht="55.5" x14ac:dyDescent="0.75">
      <c r="A1287" s="91"/>
      <c r="B1287" s="92"/>
      <c r="C1287" s="92"/>
      <c r="D1287" s="190"/>
      <c r="F1287" s="91"/>
      <c r="G1287" s="93"/>
      <c r="L1287" s="92"/>
      <c r="R1287" s="94"/>
    </row>
    <row r="1288" spans="1:18" s="7" customFormat="1" ht="55.5" x14ac:dyDescent="0.75">
      <c r="A1288" s="91"/>
      <c r="B1288" s="92"/>
      <c r="C1288" s="92"/>
      <c r="D1288" s="190"/>
      <c r="F1288" s="91"/>
      <c r="G1288" s="93"/>
      <c r="L1288" s="92"/>
      <c r="R1288" s="94"/>
    </row>
    <row r="1289" spans="1:18" s="7" customFormat="1" ht="55.5" x14ac:dyDescent="0.75">
      <c r="A1289" s="91"/>
      <c r="B1289" s="92"/>
      <c r="C1289" s="92"/>
      <c r="D1289" s="190"/>
      <c r="F1289" s="91"/>
      <c r="G1289" s="93"/>
      <c r="L1289" s="92"/>
      <c r="R1289" s="94"/>
    </row>
    <row r="1290" spans="1:18" s="7" customFormat="1" ht="55.5" x14ac:dyDescent="0.75">
      <c r="A1290" s="91"/>
      <c r="B1290" s="92"/>
      <c r="C1290" s="92"/>
      <c r="D1290" s="190"/>
      <c r="F1290" s="91"/>
      <c r="G1290" s="93"/>
      <c r="L1290" s="92"/>
      <c r="R1290" s="94"/>
    </row>
    <row r="1291" spans="1:18" s="7" customFormat="1" ht="55.5" x14ac:dyDescent="0.75">
      <c r="A1291" s="91"/>
      <c r="B1291" s="92"/>
      <c r="C1291" s="92"/>
      <c r="D1291" s="190"/>
      <c r="F1291" s="91"/>
      <c r="G1291" s="93"/>
      <c r="L1291" s="92"/>
      <c r="R1291" s="94"/>
    </row>
    <row r="1292" spans="1:18" s="7" customFormat="1" ht="55.5" x14ac:dyDescent="0.75">
      <c r="A1292" s="91"/>
      <c r="B1292" s="92"/>
      <c r="C1292" s="92"/>
      <c r="D1292" s="190"/>
      <c r="F1292" s="91"/>
      <c r="G1292" s="93"/>
      <c r="L1292" s="92"/>
      <c r="R1292" s="94"/>
    </row>
    <row r="1293" spans="1:18" s="7" customFormat="1" ht="55.5" x14ac:dyDescent="0.75">
      <c r="A1293" s="91"/>
      <c r="B1293" s="92"/>
      <c r="C1293" s="92"/>
      <c r="D1293" s="190"/>
      <c r="F1293" s="91"/>
      <c r="G1293" s="93"/>
      <c r="L1293" s="92"/>
      <c r="R1293" s="94"/>
    </row>
    <row r="1294" spans="1:18" s="7" customFormat="1" ht="55.5" x14ac:dyDescent="0.75">
      <c r="A1294" s="91"/>
      <c r="B1294" s="92"/>
      <c r="C1294" s="92"/>
      <c r="D1294" s="190"/>
      <c r="F1294" s="91"/>
      <c r="G1294" s="93"/>
      <c r="L1294" s="92"/>
      <c r="R1294" s="94"/>
    </row>
    <row r="1295" spans="1:18" s="7" customFormat="1" ht="55.5" x14ac:dyDescent="0.75">
      <c r="A1295" s="91"/>
      <c r="B1295" s="92"/>
      <c r="C1295" s="92"/>
      <c r="D1295" s="190"/>
      <c r="F1295" s="91"/>
      <c r="G1295" s="93"/>
      <c r="L1295" s="92"/>
      <c r="R1295" s="94"/>
    </row>
    <row r="1296" spans="1:18" s="7" customFormat="1" ht="55.5" x14ac:dyDescent="0.75">
      <c r="A1296" s="91"/>
      <c r="B1296" s="92"/>
      <c r="C1296" s="92"/>
      <c r="D1296" s="190"/>
      <c r="F1296" s="91"/>
      <c r="G1296" s="93"/>
      <c r="L1296" s="92"/>
      <c r="R1296" s="94"/>
    </row>
    <row r="1297" spans="1:18" s="7" customFormat="1" ht="55.5" x14ac:dyDescent="0.75">
      <c r="A1297" s="91"/>
      <c r="B1297" s="92"/>
      <c r="C1297" s="92"/>
      <c r="D1297" s="190"/>
      <c r="F1297" s="91"/>
      <c r="G1297" s="93"/>
      <c r="L1297" s="92"/>
      <c r="R1297" s="94"/>
    </row>
    <row r="1298" spans="1:18" s="7" customFormat="1" ht="55.5" x14ac:dyDescent="0.75">
      <c r="A1298" s="91"/>
      <c r="B1298" s="92"/>
      <c r="C1298" s="92"/>
      <c r="D1298" s="190"/>
      <c r="F1298" s="91"/>
      <c r="G1298" s="93"/>
      <c r="L1298" s="92"/>
      <c r="R1298" s="94"/>
    </row>
    <row r="1299" spans="1:18" s="7" customFormat="1" ht="55.5" x14ac:dyDescent="0.75">
      <c r="A1299" s="91"/>
      <c r="B1299" s="92"/>
      <c r="C1299" s="92"/>
      <c r="D1299" s="190"/>
      <c r="F1299" s="91"/>
      <c r="G1299" s="93"/>
      <c r="L1299" s="92"/>
      <c r="R1299" s="94"/>
    </row>
    <row r="1300" spans="1:18" s="7" customFormat="1" ht="55.5" x14ac:dyDescent="0.75">
      <c r="A1300" s="91"/>
      <c r="B1300" s="92"/>
      <c r="C1300" s="92"/>
      <c r="D1300" s="190"/>
      <c r="F1300" s="91"/>
      <c r="G1300" s="93"/>
      <c r="L1300" s="92"/>
      <c r="R1300" s="94"/>
    </row>
    <row r="1301" spans="1:18" s="7" customFormat="1" ht="55.5" x14ac:dyDescent="0.75">
      <c r="A1301" s="91"/>
      <c r="B1301" s="92"/>
      <c r="C1301" s="92"/>
      <c r="D1301" s="190"/>
      <c r="F1301" s="91"/>
      <c r="G1301" s="93"/>
      <c r="L1301" s="92"/>
      <c r="R1301" s="94"/>
    </row>
    <row r="1302" spans="1:18" s="7" customFormat="1" ht="55.5" x14ac:dyDescent="0.75">
      <c r="A1302" s="91"/>
      <c r="B1302" s="92"/>
      <c r="C1302" s="92"/>
      <c r="D1302" s="190"/>
      <c r="F1302" s="91"/>
      <c r="G1302" s="93"/>
      <c r="L1302" s="92"/>
      <c r="R1302" s="94"/>
    </row>
    <row r="1303" spans="1:18" s="7" customFormat="1" ht="55.5" x14ac:dyDescent="0.75">
      <c r="A1303" s="91"/>
      <c r="B1303" s="92"/>
      <c r="C1303" s="92"/>
      <c r="D1303" s="190"/>
      <c r="F1303" s="91"/>
      <c r="G1303" s="93"/>
      <c r="L1303" s="92"/>
      <c r="R1303" s="94"/>
    </row>
    <row r="1304" spans="1:18" s="7" customFormat="1" ht="55.5" x14ac:dyDescent="0.75">
      <c r="A1304" s="91"/>
      <c r="B1304" s="92"/>
      <c r="C1304" s="92"/>
      <c r="D1304" s="190"/>
      <c r="F1304" s="91"/>
      <c r="G1304" s="93"/>
      <c r="L1304" s="92"/>
      <c r="R1304" s="94"/>
    </row>
    <row r="1305" spans="1:18" s="7" customFormat="1" ht="55.5" x14ac:dyDescent="0.75">
      <c r="A1305" s="91"/>
      <c r="B1305" s="92"/>
      <c r="C1305" s="92"/>
      <c r="D1305" s="190"/>
      <c r="F1305" s="91"/>
      <c r="G1305" s="93"/>
      <c r="L1305" s="92"/>
      <c r="R1305" s="94"/>
    </row>
    <row r="1306" spans="1:18" s="7" customFormat="1" ht="55.5" x14ac:dyDescent="0.75">
      <c r="A1306" s="91"/>
      <c r="B1306" s="92"/>
      <c r="C1306" s="92"/>
      <c r="D1306" s="190"/>
      <c r="F1306" s="91"/>
      <c r="G1306" s="93"/>
      <c r="L1306" s="92"/>
      <c r="R1306" s="94"/>
    </row>
    <row r="1307" spans="1:18" s="7" customFormat="1" ht="55.5" x14ac:dyDescent="0.75">
      <c r="A1307" s="91"/>
      <c r="B1307" s="92"/>
      <c r="C1307" s="92"/>
      <c r="D1307" s="190"/>
      <c r="F1307" s="91"/>
      <c r="G1307" s="93"/>
      <c r="L1307" s="92"/>
      <c r="R1307" s="94"/>
    </row>
    <row r="1308" spans="1:18" s="7" customFormat="1" ht="55.5" x14ac:dyDescent="0.75">
      <c r="A1308" s="91"/>
      <c r="B1308" s="92"/>
      <c r="C1308" s="92"/>
      <c r="D1308" s="190"/>
      <c r="F1308" s="91"/>
      <c r="G1308" s="93"/>
      <c r="L1308" s="92"/>
      <c r="R1308" s="94"/>
    </row>
    <row r="1309" spans="1:18" s="7" customFormat="1" ht="55.5" x14ac:dyDescent="0.75">
      <c r="A1309" s="91"/>
      <c r="B1309" s="92"/>
      <c r="C1309" s="92"/>
      <c r="D1309" s="190"/>
      <c r="F1309" s="91"/>
      <c r="G1309" s="93"/>
      <c r="L1309" s="92"/>
      <c r="R1309" s="94"/>
    </row>
    <row r="1310" spans="1:18" s="7" customFormat="1" ht="55.5" x14ac:dyDescent="0.75">
      <c r="A1310" s="91"/>
      <c r="B1310" s="92"/>
      <c r="C1310" s="92"/>
      <c r="D1310" s="190"/>
      <c r="F1310" s="91"/>
      <c r="G1310" s="93"/>
      <c r="L1310" s="92"/>
      <c r="R1310" s="94"/>
    </row>
    <row r="1311" spans="1:18" s="7" customFormat="1" ht="55.5" x14ac:dyDescent="0.75">
      <c r="A1311" s="91"/>
      <c r="B1311" s="92"/>
      <c r="C1311" s="92"/>
      <c r="D1311" s="190"/>
      <c r="F1311" s="91"/>
      <c r="G1311" s="93"/>
      <c r="L1311" s="92"/>
      <c r="R1311" s="94"/>
    </row>
    <row r="1312" spans="1:18" s="7" customFormat="1" ht="55.5" x14ac:dyDescent="0.75">
      <c r="A1312" s="91"/>
      <c r="B1312" s="92"/>
      <c r="C1312" s="92"/>
      <c r="D1312" s="190"/>
      <c r="F1312" s="91"/>
      <c r="G1312" s="93"/>
      <c r="L1312" s="92"/>
      <c r="R1312" s="94"/>
    </row>
    <row r="1313" spans="1:18" s="7" customFormat="1" ht="55.5" x14ac:dyDescent="0.75">
      <c r="A1313" s="91"/>
      <c r="B1313" s="92"/>
      <c r="C1313" s="92"/>
      <c r="D1313" s="190"/>
      <c r="F1313" s="91"/>
      <c r="G1313" s="93"/>
      <c r="L1313" s="92"/>
      <c r="R1313" s="94"/>
    </row>
    <row r="1314" spans="1:18" s="7" customFormat="1" ht="55.5" x14ac:dyDescent="0.75">
      <c r="A1314" s="91"/>
      <c r="B1314" s="92"/>
      <c r="C1314" s="92"/>
      <c r="D1314" s="190"/>
      <c r="F1314" s="91"/>
      <c r="G1314" s="93"/>
      <c r="L1314" s="92"/>
      <c r="R1314" s="94"/>
    </row>
    <row r="1315" spans="1:18" s="7" customFormat="1" ht="55.5" x14ac:dyDescent="0.75">
      <c r="A1315" s="91"/>
      <c r="B1315" s="92"/>
      <c r="C1315" s="92"/>
      <c r="D1315" s="190"/>
      <c r="F1315" s="91"/>
      <c r="G1315" s="93"/>
      <c r="L1315" s="92"/>
      <c r="R1315" s="94"/>
    </row>
    <row r="1316" spans="1:18" s="7" customFormat="1" ht="55.5" x14ac:dyDescent="0.75">
      <c r="A1316" s="91"/>
      <c r="B1316" s="92"/>
      <c r="C1316" s="92"/>
      <c r="D1316" s="190"/>
      <c r="F1316" s="91"/>
      <c r="G1316" s="93"/>
      <c r="L1316" s="92"/>
      <c r="R1316" s="94"/>
    </row>
    <row r="1317" spans="1:18" s="7" customFormat="1" ht="55.5" x14ac:dyDescent="0.75">
      <c r="A1317" s="91"/>
      <c r="B1317" s="92"/>
      <c r="C1317" s="92"/>
      <c r="D1317" s="190"/>
      <c r="F1317" s="91"/>
      <c r="G1317" s="93"/>
      <c r="L1317" s="92"/>
      <c r="R1317" s="94"/>
    </row>
    <row r="1318" spans="1:18" s="7" customFormat="1" ht="55.5" x14ac:dyDescent="0.75">
      <c r="A1318" s="91"/>
      <c r="B1318" s="92"/>
      <c r="C1318" s="92"/>
      <c r="D1318" s="190"/>
      <c r="F1318" s="91"/>
      <c r="G1318" s="93"/>
      <c r="L1318" s="92"/>
      <c r="R1318" s="94"/>
    </row>
    <row r="1319" spans="1:18" s="7" customFormat="1" ht="55.5" x14ac:dyDescent="0.75">
      <c r="A1319" s="91"/>
      <c r="B1319" s="92"/>
      <c r="C1319" s="92"/>
      <c r="D1319" s="190"/>
      <c r="F1319" s="91"/>
      <c r="G1319" s="93"/>
      <c r="L1319" s="92"/>
      <c r="R1319" s="94"/>
    </row>
    <row r="1320" spans="1:18" s="7" customFormat="1" ht="55.5" x14ac:dyDescent="0.75">
      <c r="A1320" s="91"/>
      <c r="B1320" s="92"/>
      <c r="C1320" s="92"/>
      <c r="D1320" s="190"/>
      <c r="F1320" s="91"/>
      <c r="G1320" s="93"/>
      <c r="L1320" s="92"/>
      <c r="R1320" s="94"/>
    </row>
    <row r="1321" spans="1:18" s="7" customFormat="1" ht="55.5" x14ac:dyDescent="0.75">
      <c r="A1321" s="91"/>
      <c r="B1321" s="92"/>
      <c r="C1321" s="92"/>
      <c r="D1321" s="190"/>
      <c r="F1321" s="91"/>
      <c r="G1321" s="93"/>
      <c r="L1321" s="92"/>
      <c r="R1321" s="94"/>
    </row>
    <row r="1322" spans="1:18" s="7" customFormat="1" ht="55.5" x14ac:dyDescent="0.75">
      <c r="A1322" s="91"/>
      <c r="B1322" s="92"/>
      <c r="C1322" s="92"/>
      <c r="D1322" s="190"/>
      <c r="F1322" s="91"/>
      <c r="G1322" s="93"/>
      <c r="L1322" s="92"/>
      <c r="R1322" s="94"/>
    </row>
    <row r="1323" spans="1:18" s="7" customFormat="1" ht="55.5" x14ac:dyDescent="0.75">
      <c r="A1323" s="91"/>
      <c r="B1323" s="92"/>
      <c r="C1323" s="92"/>
      <c r="D1323" s="190"/>
      <c r="F1323" s="91"/>
      <c r="G1323" s="93"/>
      <c r="L1323" s="92"/>
      <c r="R1323" s="94"/>
    </row>
    <row r="1324" spans="1:18" s="7" customFormat="1" ht="55.5" x14ac:dyDescent="0.75">
      <c r="A1324" s="91"/>
      <c r="B1324" s="92"/>
      <c r="C1324" s="92"/>
      <c r="D1324" s="190"/>
      <c r="F1324" s="91"/>
      <c r="G1324" s="93"/>
      <c r="L1324" s="92"/>
      <c r="R1324" s="94"/>
    </row>
    <row r="1325" spans="1:18" s="7" customFormat="1" ht="55.5" x14ac:dyDescent="0.75">
      <c r="A1325" s="91"/>
      <c r="B1325" s="92"/>
      <c r="C1325" s="92"/>
      <c r="D1325" s="190"/>
      <c r="F1325" s="91"/>
      <c r="G1325" s="93"/>
      <c r="L1325" s="92"/>
      <c r="R1325" s="94"/>
    </row>
    <row r="1326" spans="1:18" s="7" customFormat="1" ht="55.5" x14ac:dyDescent="0.75">
      <c r="A1326" s="91"/>
      <c r="B1326" s="92"/>
      <c r="C1326" s="92"/>
      <c r="D1326" s="190"/>
      <c r="F1326" s="91"/>
      <c r="G1326" s="93"/>
      <c r="L1326" s="92"/>
      <c r="R1326" s="94"/>
    </row>
    <row r="1327" spans="1:18" s="7" customFormat="1" ht="55.5" x14ac:dyDescent="0.75">
      <c r="A1327" s="91"/>
      <c r="B1327" s="92"/>
      <c r="C1327" s="92"/>
      <c r="D1327" s="190"/>
      <c r="F1327" s="91"/>
      <c r="G1327" s="93"/>
      <c r="L1327" s="92"/>
      <c r="R1327" s="94"/>
    </row>
    <row r="1328" spans="1:18" s="7" customFormat="1" ht="55.5" x14ac:dyDescent="0.75">
      <c r="A1328" s="91"/>
      <c r="B1328" s="92"/>
      <c r="C1328" s="92"/>
      <c r="D1328" s="190"/>
      <c r="F1328" s="91"/>
      <c r="G1328" s="93"/>
      <c r="L1328" s="92"/>
      <c r="R1328" s="94"/>
    </row>
    <row r="1329" spans="1:18" s="7" customFormat="1" ht="55.5" x14ac:dyDescent="0.75">
      <c r="A1329" s="91"/>
      <c r="B1329" s="92"/>
      <c r="C1329" s="92"/>
      <c r="D1329" s="190"/>
      <c r="F1329" s="91"/>
      <c r="G1329" s="93"/>
      <c r="L1329" s="92"/>
      <c r="R1329" s="94"/>
    </row>
    <row r="1330" spans="1:18" s="7" customFormat="1" ht="55.5" x14ac:dyDescent="0.75">
      <c r="A1330" s="91"/>
      <c r="B1330" s="92"/>
      <c r="C1330" s="92"/>
      <c r="D1330" s="190"/>
      <c r="F1330" s="91"/>
      <c r="G1330" s="93"/>
      <c r="L1330" s="92"/>
      <c r="R1330" s="94"/>
    </row>
    <row r="1331" spans="1:18" s="7" customFormat="1" ht="55.5" x14ac:dyDescent="0.75">
      <c r="A1331" s="91"/>
      <c r="B1331" s="92"/>
      <c r="C1331" s="92"/>
      <c r="D1331" s="190"/>
      <c r="F1331" s="91"/>
      <c r="G1331" s="93"/>
      <c r="L1331" s="92"/>
      <c r="R1331" s="94"/>
    </row>
    <row r="1332" spans="1:18" s="7" customFormat="1" ht="55.5" x14ac:dyDescent="0.75">
      <c r="A1332" s="91"/>
      <c r="B1332" s="92"/>
      <c r="C1332" s="92"/>
      <c r="D1332" s="190"/>
      <c r="F1332" s="91"/>
      <c r="G1332" s="93"/>
      <c r="L1332" s="92"/>
      <c r="R1332" s="94"/>
    </row>
    <row r="1333" spans="1:18" s="7" customFormat="1" ht="55.5" x14ac:dyDescent="0.75">
      <c r="A1333" s="91"/>
      <c r="B1333" s="92"/>
      <c r="C1333" s="92"/>
      <c r="D1333" s="190"/>
      <c r="F1333" s="91"/>
      <c r="G1333" s="93"/>
      <c r="L1333" s="92"/>
      <c r="R1333" s="94"/>
    </row>
    <row r="1334" spans="1:18" s="7" customFormat="1" ht="55.5" x14ac:dyDescent="0.75">
      <c r="A1334" s="91"/>
      <c r="B1334" s="92"/>
      <c r="C1334" s="92"/>
      <c r="D1334" s="190"/>
      <c r="F1334" s="91"/>
      <c r="G1334" s="93"/>
      <c r="L1334" s="92"/>
      <c r="R1334" s="94"/>
    </row>
    <row r="1335" spans="1:18" s="7" customFormat="1" ht="55.5" x14ac:dyDescent="0.75">
      <c r="A1335" s="91"/>
      <c r="B1335" s="92"/>
      <c r="C1335" s="92"/>
      <c r="D1335" s="190"/>
      <c r="F1335" s="91"/>
      <c r="G1335" s="93"/>
      <c r="L1335" s="92"/>
      <c r="R1335" s="94"/>
    </row>
    <row r="1336" spans="1:18" s="7" customFormat="1" ht="55.5" x14ac:dyDescent="0.75">
      <c r="A1336" s="91"/>
      <c r="B1336" s="92"/>
      <c r="C1336" s="92"/>
      <c r="D1336" s="190"/>
      <c r="F1336" s="91"/>
      <c r="G1336" s="93"/>
      <c r="L1336" s="92"/>
      <c r="R1336" s="94"/>
    </row>
    <row r="1337" spans="1:18" s="7" customFormat="1" ht="55.5" x14ac:dyDescent="0.75">
      <c r="A1337" s="91"/>
      <c r="B1337" s="92"/>
      <c r="C1337" s="92"/>
      <c r="D1337" s="190"/>
      <c r="F1337" s="91"/>
      <c r="G1337" s="93"/>
      <c r="L1337" s="92"/>
      <c r="R1337" s="94"/>
    </row>
    <row r="1338" spans="1:18" s="7" customFormat="1" ht="55.5" x14ac:dyDescent="0.75">
      <c r="A1338" s="91"/>
      <c r="B1338" s="92"/>
      <c r="C1338" s="92"/>
      <c r="D1338" s="190"/>
      <c r="F1338" s="91"/>
      <c r="G1338" s="93"/>
      <c r="L1338" s="92"/>
      <c r="R1338" s="94"/>
    </row>
    <row r="1339" spans="1:18" s="7" customFormat="1" ht="55.5" x14ac:dyDescent="0.75">
      <c r="A1339" s="91"/>
      <c r="B1339" s="92"/>
      <c r="C1339" s="92"/>
      <c r="D1339" s="190"/>
      <c r="F1339" s="91"/>
      <c r="G1339" s="93"/>
      <c r="L1339" s="92"/>
      <c r="R1339" s="94"/>
    </row>
    <row r="1340" spans="1:18" s="7" customFormat="1" ht="55.5" x14ac:dyDescent="0.75">
      <c r="A1340" s="91"/>
      <c r="B1340" s="92"/>
      <c r="C1340" s="92"/>
      <c r="D1340" s="190"/>
      <c r="F1340" s="91"/>
      <c r="G1340" s="93"/>
      <c r="L1340" s="92"/>
      <c r="R1340" s="94"/>
    </row>
    <row r="1341" spans="1:18" s="7" customFormat="1" ht="55.5" x14ac:dyDescent="0.75">
      <c r="A1341" s="91"/>
      <c r="B1341" s="92"/>
      <c r="C1341" s="92"/>
      <c r="D1341" s="190"/>
      <c r="F1341" s="91"/>
      <c r="G1341" s="93"/>
      <c r="L1341" s="92"/>
      <c r="R1341" s="94"/>
    </row>
    <row r="1342" spans="1:18" s="7" customFormat="1" ht="55.5" x14ac:dyDescent="0.75">
      <c r="A1342" s="91"/>
      <c r="B1342" s="92"/>
      <c r="C1342" s="92"/>
      <c r="D1342" s="190"/>
      <c r="F1342" s="91"/>
      <c r="G1342" s="93"/>
      <c r="L1342" s="92"/>
      <c r="R1342" s="94"/>
    </row>
    <row r="1343" spans="1:18" s="7" customFormat="1" ht="55.5" x14ac:dyDescent="0.75">
      <c r="A1343" s="91"/>
      <c r="B1343" s="92"/>
      <c r="C1343" s="92"/>
      <c r="D1343" s="190"/>
      <c r="F1343" s="91"/>
      <c r="G1343" s="93"/>
      <c r="L1343" s="92"/>
      <c r="R1343" s="94"/>
    </row>
    <row r="1344" spans="1:18" s="7" customFormat="1" ht="55.5" x14ac:dyDescent="0.75">
      <c r="A1344" s="91"/>
      <c r="B1344" s="92"/>
      <c r="C1344" s="92"/>
      <c r="D1344" s="190"/>
      <c r="F1344" s="91"/>
      <c r="G1344" s="93"/>
      <c r="L1344" s="92"/>
      <c r="R1344" s="94"/>
    </row>
    <row r="1345" spans="1:18" s="7" customFormat="1" ht="55.5" x14ac:dyDescent="0.75">
      <c r="A1345" s="91"/>
      <c r="B1345" s="92"/>
      <c r="C1345" s="92"/>
      <c r="D1345" s="190"/>
      <c r="F1345" s="91"/>
      <c r="G1345" s="93"/>
      <c r="L1345" s="92"/>
      <c r="R1345" s="94"/>
    </row>
    <row r="1346" spans="1:18" s="7" customFormat="1" ht="55.5" x14ac:dyDescent="0.75">
      <c r="A1346" s="91"/>
      <c r="B1346" s="92"/>
      <c r="C1346" s="92"/>
      <c r="D1346" s="190"/>
      <c r="F1346" s="91"/>
      <c r="G1346" s="93"/>
      <c r="L1346" s="92"/>
      <c r="R1346" s="94"/>
    </row>
    <row r="1347" spans="1:18" s="7" customFormat="1" ht="55.5" x14ac:dyDescent="0.75">
      <c r="A1347" s="91"/>
      <c r="B1347" s="92"/>
      <c r="C1347" s="92"/>
      <c r="D1347" s="190"/>
      <c r="F1347" s="91"/>
      <c r="G1347" s="93"/>
      <c r="L1347" s="92"/>
      <c r="R1347" s="94"/>
    </row>
    <row r="1348" spans="1:18" s="7" customFormat="1" ht="55.5" x14ac:dyDescent="0.75">
      <c r="A1348" s="91"/>
      <c r="B1348" s="92"/>
      <c r="C1348" s="92"/>
      <c r="D1348" s="190"/>
      <c r="F1348" s="91"/>
      <c r="G1348" s="93"/>
      <c r="L1348" s="92"/>
      <c r="R1348" s="94"/>
    </row>
    <row r="1349" spans="1:18" s="7" customFormat="1" ht="55.5" x14ac:dyDescent="0.75">
      <c r="A1349" s="91"/>
      <c r="B1349" s="92"/>
      <c r="C1349" s="92"/>
      <c r="D1349" s="190"/>
      <c r="F1349" s="91"/>
      <c r="G1349" s="93"/>
      <c r="L1349" s="92"/>
      <c r="R1349" s="94"/>
    </row>
    <row r="1350" spans="1:18" s="7" customFormat="1" ht="55.5" x14ac:dyDescent="0.75">
      <c r="A1350" s="91"/>
      <c r="B1350" s="92"/>
      <c r="C1350" s="92"/>
      <c r="D1350" s="190"/>
      <c r="F1350" s="91"/>
      <c r="G1350" s="93"/>
      <c r="L1350" s="92"/>
      <c r="R1350" s="94"/>
    </row>
    <row r="1351" spans="1:18" s="7" customFormat="1" ht="55.5" x14ac:dyDescent="0.75">
      <c r="A1351" s="91"/>
      <c r="B1351" s="92"/>
      <c r="C1351" s="92"/>
      <c r="D1351" s="190"/>
      <c r="F1351" s="91"/>
      <c r="G1351" s="93"/>
      <c r="L1351" s="92"/>
      <c r="R1351" s="94"/>
    </row>
    <row r="1352" spans="1:18" s="7" customFormat="1" ht="55.5" x14ac:dyDescent="0.75">
      <c r="A1352" s="91"/>
      <c r="B1352" s="92"/>
      <c r="C1352" s="92"/>
      <c r="D1352" s="190"/>
      <c r="F1352" s="91"/>
      <c r="G1352" s="93"/>
      <c r="L1352" s="92"/>
      <c r="R1352" s="94"/>
    </row>
    <row r="1353" spans="1:18" s="7" customFormat="1" ht="55.5" x14ac:dyDescent="0.75">
      <c r="A1353" s="91"/>
      <c r="B1353" s="92"/>
      <c r="C1353" s="92"/>
      <c r="D1353" s="190"/>
      <c r="F1353" s="91"/>
      <c r="G1353" s="93"/>
      <c r="L1353" s="92"/>
      <c r="R1353" s="94"/>
    </row>
    <row r="1354" spans="1:18" s="7" customFormat="1" ht="55.5" x14ac:dyDescent="0.75">
      <c r="A1354" s="91"/>
      <c r="B1354" s="92"/>
      <c r="C1354" s="92"/>
      <c r="D1354" s="190"/>
      <c r="F1354" s="91"/>
      <c r="G1354" s="93"/>
      <c r="L1354" s="92"/>
      <c r="R1354" s="94"/>
    </row>
    <row r="1355" spans="1:18" s="7" customFormat="1" ht="55.5" x14ac:dyDescent="0.75">
      <c r="A1355" s="91"/>
      <c r="B1355" s="92"/>
      <c r="C1355" s="92"/>
      <c r="D1355" s="190"/>
      <c r="F1355" s="91"/>
      <c r="G1355" s="93"/>
      <c r="L1355" s="92"/>
      <c r="R1355" s="94"/>
    </row>
    <row r="1356" spans="1:18" s="7" customFormat="1" ht="55.5" x14ac:dyDescent="0.75">
      <c r="A1356" s="91"/>
      <c r="B1356" s="92"/>
      <c r="C1356" s="92"/>
      <c r="D1356" s="190"/>
      <c r="F1356" s="91"/>
      <c r="G1356" s="93"/>
      <c r="L1356" s="92"/>
      <c r="R1356" s="94"/>
    </row>
    <row r="1357" spans="1:18" s="7" customFormat="1" ht="55.5" x14ac:dyDescent="0.75">
      <c r="A1357" s="91"/>
      <c r="B1357" s="92"/>
      <c r="C1357" s="92"/>
      <c r="D1357" s="190"/>
      <c r="F1357" s="91"/>
      <c r="G1357" s="93"/>
      <c r="L1357" s="92"/>
      <c r="R1357" s="94"/>
    </row>
    <row r="1358" spans="1:18" s="7" customFormat="1" ht="55.5" x14ac:dyDescent="0.75">
      <c r="A1358" s="91"/>
      <c r="B1358" s="92"/>
      <c r="C1358" s="92"/>
      <c r="D1358" s="190"/>
      <c r="F1358" s="91"/>
      <c r="G1358" s="93"/>
      <c r="L1358" s="92"/>
      <c r="R1358" s="94"/>
    </row>
    <row r="1359" spans="1:18" s="7" customFormat="1" ht="55.5" x14ac:dyDescent="0.75">
      <c r="A1359" s="91"/>
      <c r="B1359" s="92"/>
      <c r="C1359" s="92"/>
      <c r="D1359" s="190"/>
      <c r="F1359" s="91"/>
      <c r="G1359" s="93"/>
      <c r="L1359" s="92"/>
      <c r="R1359" s="94"/>
    </row>
    <row r="1360" spans="1:18" s="7" customFormat="1" ht="55.5" x14ac:dyDescent="0.75">
      <c r="A1360" s="91"/>
      <c r="B1360" s="92"/>
      <c r="C1360" s="92"/>
      <c r="D1360" s="190"/>
      <c r="F1360" s="91"/>
      <c r="G1360" s="93"/>
      <c r="L1360" s="92"/>
      <c r="R1360" s="94"/>
    </row>
    <row r="1361" spans="1:18" s="7" customFormat="1" ht="55.5" x14ac:dyDescent="0.75">
      <c r="A1361" s="91"/>
      <c r="B1361" s="92"/>
      <c r="C1361" s="92"/>
      <c r="D1361" s="190"/>
      <c r="F1361" s="91"/>
      <c r="G1361" s="93"/>
      <c r="L1361" s="92"/>
      <c r="R1361" s="94"/>
    </row>
    <row r="1362" spans="1:18" s="7" customFormat="1" ht="55.5" x14ac:dyDescent="0.75">
      <c r="A1362" s="91"/>
      <c r="B1362" s="92"/>
      <c r="C1362" s="92"/>
      <c r="D1362" s="190"/>
      <c r="F1362" s="91"/>
      <c r="G1362" s="93"/>
      <c r="L1362" s="92"/>
      <c r="R1362" s="94"/>
    </row>
    <row r="1363" spans="1:18" s="7" customFormat="1" ht="55.5" x14ac:dyDescent="0.75">
      <c r="A1363" s="91"/>
      <c r="B1363" s="92"/>
      <c r="C1363" s="92"/>
      <c r="D1363" s="190"/>
      <c r="F1363" s="91"/>
      <c r="G1363" s="93"/>
      <c r="L1363" s="92"/>
      <c r="R1363" s="94"/>
    </row>
    <row r="1364" spans="1:18" s="7" customFormat="1" ht="55.5" x14ac:dyDescent="0.75">
      <c r="A1364" s="91"/>
      <c r="B1364" s="92"/>
      <c r="C1364" s="92"/>
      <c r="D1364" s="190"/>
      <c r="F1364" s="91"/>
      <c r="G1364" s="93"/>
      <c r="L1364" s="92"/>
      <c r="R1364" s="94"/>
    </row>
    <row r="1365" spans="1:18" s="7" customFormat="1" ht="55.5" x14ac:dyDescent="0.75">
      <c r="A1365" s="91"/>
      <c r="B1365" s="92"/>
      <c r="C1365" s="92"/>
      <c r="D1365" s="190"/>
      <c r="F1365" s="91"/>
      <c r="G1365" s="93"/>
      <c r="L1365" s="92"/>
      <c r="R1365" s="94"/>
    </row>
    <row r="1366" spans="1:18" s="7" customFormat="1" ht="55.5" x14ac:dyDescent="0.75">
      <c r="A1366" s="91"/>
      <c r="B1366" s="92"/>
      <c r="C1366" s="92"/>
      <c r="D1366" s="190"/>
      <c r="F1366" s="91"/>
      <c r="G1366" s="93"/>
      <c r="L1366" s="92"/>
      <c r="R1366" s="94"/>
    </row>
    <row r="1367" spans="1:18" s="7" customFormat="1" ht="55.5" x14ac:dyDescent="0.75">
      <c r="A1367" s="91"/>
      <c r="B1367" s="92"/>
      <c r="C1367" s="92"/>
      <c r="D1367" s="190"/>
      <c r="F1367" s="91"/>
      <c r="G1367" s="93"/>
      <c r="L1367" s="92"/>
      <c r="R1367" s="94"/>
    </row>
    <row r="1368" spans="1:18" s="7" customFormat="1" ht="55.5" x14ac:dyDescent="0.75">
      <c r="A1368" s="91"/>
      <c r="B1368" s="92"/>
      <c r="C1368" s="92"/>
      <c r="D1368" s="190"/>
      <c r="F1368" s="91"/>
      <c r="G1368" s="93"/>
      <c r="L1368" s="92"/>
      <c r="R1368" s="94"/>
    </row>
    <row r="1369" spans="1:18" s="7" customFormat="1" ht="55.5" x14ac:dyDescent="0.75">
      <c r="A1369" s="91"/>
      <c r="B1369" s="92"/>
      <c r="C1369" s="92"/>
      <c r="D1369" s="190"/>
      <c r="F1369" s="91"/>
      <c r="G1369" s="93"/>
      <c r="L1369" s="92"/>
      <c r="R1369" s="94"/>
    </row>
    <row r="1370" spans="1:18" s="7" customFormat="1" ht="55.5" x14ac:dyDescent="0.75">
      <c r="A1370" s="91"/>
      <c r="B1370" s="92"/>
      <c r="C1370" s="92"/>
      <c r="D1370" s="190"/>
      <c r="F1370" s="91"/>
      <c r="G1370" s="93"/>
      <c r="L1370" s="92"/>
      <c r="R1370" s="94"/>
    </row>
    <row r="1371" spans="1:18" s="7" customFormat="1" ht="55.5" x14ac:dyDescent="0.75">
      <c r="A1371" s="91"/>
      <c r="B1371" s="92"/>
      <c r="C1371" s="92"/>
      <c r="D1371" s="190"/>
      <c r="F1371" s="91"/>
      <c r="G1371" s="93"/>
      <c r="L1371" s="92"/>
      <c r="R1371" s="94"/>
    </row>
    <row r="1372" spans="1:18" s="7" customFormat="1" ht="55.5" x14ac:dyDescent="0.75">
      <c r="A1372" s="91"/>
      <c r="B1372" s="92"/>
      <c r="C1372" s="92"/>
      <c r="D1372" s="190"/>
      <c r="F1372" s="91"/>
      <c r="G1372" s="93"/>
      <c r="L1372" s="92"/>
      <c r="R1372" s="94"/>
    </row>
    <row r="1373" spans="1:18" s="7" customFormat="1" ht="55.5" x14ac:dyDescent="0.75">
      <c r="A1373" s="91"/>
      <c r="B1373" s="92"/>
      <c r="C1373" s="92"/>
      <c r="D1373" s="190"/>
      <c r="F1373" s="91"/>
      <c r="G1373" s="93"/>
      <c r="L1373" s="92"/>
      <c r="R1373" s="94"/>
    </row>
    <row r="1374" spans="1:18" s="7" customFormat="1" ht="55.5" x14ac:dyDescent="0.75">
      <c r="A1374" s="91"/>
      <c r="B1374" s="92"/>
      <c r="C1374" s="92"/>
      <c r="D1374" s="190"/>
      <c r="F1374" s="91"/>
      <c r="G1374" s="93"/>
      <c r="L1374" s="92"/>
      <c r="R1374" s="94"/>
    </row>
    <row r="1375" spans="1:18" s="7" customFormat="1" ht="55.5" x14ac:dyDescent="0.75">
      <c r="A1375" s="91"/>
      <c r="B1375" s="92"/>
      <c r="C1375" s="92"/>
      <c r="D1375" s="190"/>
      <c r="F1375" s="91"/>
      <c r="G1375" s="93"/>
      <c r="L1375" s="92"/>
      <c r="R1375" s="94"/>
    </row>
    <row r="1376" spans="1:18" s="7" customFormat="1" ht="55.5" x14ac:dyDescent="0.75">
      <c r="A1376" s="91"/>
      <c r="B1376" s="92"/>
      <c r="C1376" s="92"/>
      <c r="D1376" s="190"/>
      <c r="F1376" s="91"/>
      <c r="G1376" s="93"/>
      <c r="L1376" s="92"/>
      <c r="R1376" s="94"/>
    </row>
    <row r="1377" spans="1:18" s="7" customFormat="1" ht="55.5" x14ac:dyDescent="0.75">
      <c r="A1377" s="91"/>
      <c r="B1377" s="92"/>
      <c r="C1377" s="92"/>
      <c r="D1377" s="190"/>
      <c r="F1377" s="91"/>
      <c r="G1377" s="93"/>
      <c r="L1377" s="92"/>
      <c r="R1377" s="94"/>
    </row>
    <row r="1378" spans="1:18" s="7" customFormat="1" ht="55.5" x14ac:dyDescent="0.75">
      <c r="A1378" s="91"/>
      <c r="B1378" s="92"/>
      <c r="C1378" s="92"/>
      <c r="D1378" s="190"/>
      <c r="F1378" s="91"/>
      <c r="G1378" s="93"/>
      <c r="L1378" s="92"/>
      <c r="R1378" s="94"/>
    </row>
    <row r="1379" spans="1:18" s="7" customFormat="1" ht="55.5" x14ac:dyDescent="0.75">
      <c r="A1379" s="91"/>
      <c r="B1379" s="92"/>
      <c r="C1379" s="92"/>
      <c r="D1379" s="190"/>
      <c r="F1379" s="91"/>
      <c r="G1379" s="93"/>
      <c r="L1379" s="92"/>
      <c r="R1379" s="94"/>
    </row>
    <row r="1380" spans="1:18" s="7" customFormat="1" ht="55.5" x14ac:dyDescent="0.75">
      <c r="A1380" s="91"/>
      <c r="B1380" s="92"/>
      <c r="C1380" s="92"/>
      <c r="D1380" s="190"/>
      <c r="F1380" s="91"/>
      <c r="G1380" s="93"/>
      <c r="L1380" s="92"/>
      <c r="R1380" s="94"/>
    </row>
    <row r="1381" spans="1:18" s="7" customFormat="1" ht="55.5" x14ac:dyDescent="0.75">
      <c r="A1381" s="91"/>
      <c r="B1381" s="92"/>
      <c r="C1381" s="92"/>
      <c r="D1381" s="190"/>
      <c r="F1381" s="91"/>
      <c r="G1381" s="93"/>
      <c r="L1381" s="92"/>
      <c r="R1381" s="94"/>
    </row>
    <row r="1382" spans="1:18" s="7" customFormat="1" ht="55.5" x14ac:dyDescent="0.75">
      <c r="A1382" s="91"/>
      <c r="B1382" s="92"/>
      <c r="C1382" s="92"/>
      <c r="D1382" s="190"/>
      <c r="F1382" s="91"/>
      <c r="G1382" s="93"/>
      <c r="L1382" s="92"/>
      <c r="R1382" s="94"/>
    </row>
    <row r="1383" spans="1:18" s="7" customFormat="1" ht="55.5" x14ac:dyDescent="0.75">
      <c r="A1383" s="91"/>
      <c r="B1383" s="92"/>
      <c r="C1383" s="92"/>
      <c r="D1383" s="190"/>
      <c r="F1383" s="91"/>
      <c r="G1383" s="93"/>
      <c r="L1383" s="92"/>
      <c r="R1383" s="94"/>
    </row>
    <row r="1384" spans="1:18" s="7" customFormat="1" ht="55.5" x14ac:dyDescent="0.75">
      <c r="A1384" s="91"/>
      <c r="B1384" s="92"/>
      <c r="C1384" s="92"/>
      <c r="D1384" s="190"/>
      <c r="F1384" s="91"/>
      <c r="G1384" s="93"/>
      <c r="L1384" s="92"/>
      <c r="R1384" s="94"/>
    </row>
    <row r="1385" spans="1:18" s="7" customFormat="1" ht="55.5" x14ac:dyDescent="0.75">
      <c r="A1385" s="91"/>
      <c r="B1385" s="92"/>
      <c r="C1385" s="92"/>
      <c r="D1385" s="190"/>
      <c r="F1385" s="91"/>
      <c r="G1385" s="93"/>
      <c r="L1385" s="92"/>
      <c r="R1385" s="94"/>
    </row>
    <row r="1386" spans="1:18" s="7" customFormat="1" ht="55.5" x14ac:dyDescent="0.75">
      <c r="A1386" s="91"/>
      <c r="B1386" s="92"/>
      <c r="C1386" s="92"/>
      <c r="D1386" s="190"/>
      <c r="F1386" s="91"/>
      <c r="G1386" s="93"/>
      <c r="L1386" s="92"/>
      <c r="R1386" s="94"/>
    </row>
    <row r="1387" spans="1:18" s="7" customFormat="1" ht="55.5" x14ac:dyDescent="0.75">
      <c r="A1387" s="91"/>
      <c r="B1387" s="92"/>
      <c r="C1387" s="92"/>
      <c r="D1387" s="190"/>
      <c r="F1387" s="91"/>
      <c r="G1387" s="93"/>
      <c r="L1387" s="92"/>
      <c r="R1387" s="94"/>
    </row>
  </sheetData>
  <autoFilter ref="A2:AC521" xr:uid="{00000000-0009-0000-0000-000002000000}">
    <filterColumn colId="7" showButton="0"/>
    <filterColumn colId="8" showButton="0"/>
    <filterColumn colId="10" showButton="0"/>
    <filterColumn colId="11" showButton="0"/>
    <sortState xmlns:xlrd2="http://schemas.microsoft.com/office/spreadsheetml/2017/richdata2" ref="A3:AA523">
      <sortCondition ref="B2:B119"/>
    </sortState>
  </autoFilter>
  <mergeCells count="469">
    <mergeCell ref="B520:B521"/>
    <mergeCell ref="C520:C521"/>
    <mergeCell ref="D520:D521"/>
    <mergeCell ref="A511:A512"/>
    <mergeCell ref="B511:B516"/>
    <mergeCell ref="C511:C516"/>
    <mergeCell ref="D511:D516"/>
    <mergeCell ref="A517:A518"/>
    <mergeCell ref="B517:B518"/>
    <mergeCell ref="C517:C518"/>
    <mergeCell ref="D517:D518"/>
    <mergeCell ref="B507:B508"/>
    <mergeCell ref="C507:C508"/>
    <mergeCell ref="D507:D508"/>
    <mergeCell ref="B509:B510"/>
    <mergeCell ref="C509:C510"/>
    <mergeCell ref="D509:D510"/>
    <mergeCell ref="B501:B502"/>
    <mergeCell ref="D501:D502"/>
    <mergeCell ref="B503:B504"/>
    <mergeCell ref="C503:C504"/>
    <mergeCell ref="D503:D504"/>
    <mergeCell ref="A505:A506"/>
    <mergeCell ref="B505:B506"/>
    <mergeCell ref="C505:C506"/>
    <mergeCell ref="D505:D506"/>
    <mergeCell ref="A495:A496"/>
    <mergeCell ref="B495:B496"/>
    <mergeCell ref="C495:C496"/>
    <mergeCell ref="D495:D496"/>
    <mergeCell ref="B498:B500"/>
    <mergeCell ref="C498:C500"/>
    <mergeCell ref="D498:D500"/>
    <mergeCell ref="B491:B492"/>
    <mergeCell ref="C491:C492"/>
    <mergeCell ref="D491:D492"/>
    <mergeCell ref="A493:A494"/>
    <mergeCell ref="B493:B494"/>
    <mergeCell ref="C493:C494"/>
    <mergeCell ref="D493:D494"/>
    <mergeCell ref="B486:B487"/>
    <mergeCell ref="C486:C487"/>
    <mergeCell ref="D486:D487"/>
    <mergeCell ref="B488:B489"/>
    <mergeCell ref="C488:C489"/>
    <mergeCell ref="D488:D489"/>
    <mergeCell ref="B475:B478"/>
    <mergeCell ref="C475:C478"/>
    <mergeCell ref="D475:D478"/>
    <mergeCell ref="B480:B485"/>
    <mergeCell ref="C480:C485"/>
    <mergeCell ref="D480:D485"/>
    <mergeCell ref="A471:A472"/>
    <mergeCell ref="B471:B472"/>
    <mergeCell ref="C471:C472"/>
    <mergeCell ref="D471:D472"/>
    <mergeCell ref="A473:A474"/>
    <mergeCell ref="B473:B474"/>
    <mergeCell ref="C473:C474"/>
    <mergeCell ref="D473:D474"/>
    <mergeCell ref="C464:C465"/>
    <mergeCell ref="D464:D465"/>
    <mergeCell ref="B466:B467"/>
    <mergeCell ref="C466:C467"/>
    <mergeCell ref="D466:D467"/>
    <mergeCell ref="A469:A470"/>
    <mergeCell ref="B469:B470"/>
    <mergeCell ref="C469:C470"/>
    <mergeCell ref="D469:D470"/>
    <mergeCell ref="B453:B456"/>
    <mergeCell ref="C453:C456"/>
    <mergeCell ref="D453:D456"/>
    <mergeCell ref="A458:A463"/>
    <mergeCell ref="B458:B463"/>
    <mergeCell ref="C458:C463"/>
    <mergeCell ref="D458:D463"/>
    <mergeCell ref="A438:A439"/>
    <mergeCell ref="B438:B439"/>
    <mergeCell ref="C438:C439"/>
    <mergeCell ref="D438:D439"/>
    <mergeCell ref="A442:A445"/>
    <mergeCell ref="B442:B445"/>
    <mergeCell ref="C442:C445"/>
    <mergeCell ref="D442:D445"/>
    <mergeCell ref="B434:B435"/>
    <mergeCell ref="C434:C435"/>
    <mergeCell ref="D434:D435"/>
    <mergeCell ref="B436:B437"/>
    <mergeCell ref="C436:C437"/>
    <mergeCell ref="D436:D437"/>
    <mergeCell ref="B428:B430"/>
    <mergeCell ref="C428:C430"/>
    <mergeCell ref="D428:D430"/>
    <mergeCell ref="B431:B433"/>
    <mergeCell ref="C431:C433"/>
    <mergeCell ref="D431:D433"/>
    <mergeCell ref="A419:A422"/>
    <mergeCell ref="B419:B422"/>
    <mergeCell ref="C419:C422"/>
    <mergeCell ref="D419:D422"/>
    <mergeCell ref="B425:B426"/>
    <mergeCell ref="C425:C426"/>
    <mergeCell ref="D425:D426"/>
    <mergeCell ref="B414:B415"/>
    <mergeCell ref="C414:C415"/>
    <mergeCell ref="D414:D415"/>
    <mergeCell ref="B417:B418"/>
    <mergeCell ref="C417:C418"/>
    <mergeCell ref="D417:D418"/>
    <mergeCell ref="B403:B405"/>
    <mergeCell ref="C403:C405"/>
    <mergeCell ref="D403:D405"/>
    <mergeCell ref="B410:B413"/>
    <mergeCell ref="C410:C413"/>
    <mergeCell ref="D410:D413"/>
    <mergeCell ref="C393:C394"/>
    <mergeCell ref="D393:D394"/>
    <mergeCell ref="B399:B400"/>
    <mergeCell ref="C399:C400"/>
    <mergeCell ref="D399:D400"/>
    <mergeCell ref="A401:A402"/>
    <mergeCell ref="B401:B402"/>
    <mergeCell ref="C401:C402"/>
    <mergeCell ref="D401:D402"/>
    <mergeCell ref="A388:A390"/>
    <mergeCell ref="B388:B390"/>
    <mergeCell ref="C388:C390"/>
    <mergeCell ref="D388:D390"/>
    <mergeCell ref="A391:A392"/>
    <mergeCell ref="B391:B392"/>
    <mergeCell ref="C391:C392"/>
    <mergeCell ref="D391:D392"/>
    <mergeCell ref="B380:B382"/>
    <mergeCell ref="C380:C382"/>
    <mergeCell ref="D380:D382"/>
    <mergeCell ref="B383:B384"/>
    <mergeCell ref="C383:C384"/>
    <mergeCell ref="D383:D384"/>
    <mergeCell ref="B365:B366"/>
    <mergeCell ref="C365:C366"/>
    <mergeCell ref="D365:D366"/>
    <mergeCell ref="B373:B378"/>
    <mergeCell ref="C373:C378"/>
    <mergeCell ref="D373:D378"/>
    <mergeCell ref="A355:A359"/>
    <mergeCell ref="B355:B359"/>
    <mergeCell ref="C355:C359"/>
    <mergeCell ref="D355:D359"/>
    <mergeCell ref="B361:B364"/>
    <mergeCell ref="C361:C364"/>
    <mergeCell ref="D361:D364"/>
    <mergeCell ref="A350:A351"/>
    <mergeCell ref="B350:B351"/>
    <mergeCell ref="C350:C351"/>
    <mergeCell ref="D350:D351"/>
    <mergeCell ref="A352:A353"/>
    <mergeCell ref="B352:B353"/>
    <mergeCell ref="C352:C353"/>
    <mergeCell ref="D352:D353"/>
    <mergeCell ref="A343:A344"/>
    <mergeCell ref="B343:B344"/>
    <mergeCell ref="C343:C344"/>
    <mergeCell ref="D343:D344"/>
    <mergeCell ref="B346:B347"/>
    <mergeCell ref="C346:C347"/>
    <mergeCell ref="D346:D347"/>
    <mergeCell ref="B337:B338"/>
    <mergeCell ref="C337:C338"/>
    <mergeCell ref="D337:D338"/>
    <mergeCell ref="A339:A342"/>
    <mergeCell ref="B339:B342"/>
    <mergeCell ref="C339:C342"/>
    <mergeCell ref="D339:D342"/>
    <mergeCell ref="B329:B330"/>
    <mergeCell ref="C329:C330"/>
    <mergeCell ref="D329:D330"/>
    <mergeCell ref="B332:B333"/>
    <mergeCell ref="C332:C333"/>
    <mergeCell ref="D332:D333"/>
    <mergeCell ref="B312:B313"/>
    <mergeCell ref="C312:C313"/>
    <mergeCell ref="D312:D313"/>
    <mergeCell ref="A327:A328"/>
    <mergeCell ref="B327:B328"/>
    <mergeCell ref="C327:C328"/>
    <mergeCell ref="D327:D328"/>
    <mergeCell ref="A305:A309"/>
    <mergeCell ref="B305:B309"/>
    <mergeCell ref="C305:C309"/>
    <mergeCell ref="D305:D309"/>
    <mergeCell ref="B310:B311"/>
    <mergeCell ref="C310:C311"/>
    <mergeCell ref="D310:D311"/>
    <mergeCell ref="A293:A297"/>
    <mergeCell ref="B293:B297"/>
    <mergeCell ref="C293:C297"/>
    <mergeCell ref="D293:D297"/>
    <mergeCell ref="B300:B304"/>
    <mergeCell ref="C300:C304"/>
    <mergeCell ref="D300:D304"/>
    <mergeCell ref="B285:B286"/>
    <mergeCell ref="C285:C286"/>
    <mergeCell ref="D285:D286"/>
    <mergeCell ref="B287:B290"/>
    <mergeCell ref="C287:C290"/>
    <mergeCell ref="D287:D290"/>
    <mergeCell ref="A273:A277"/>
    <mergeCell ref="B273:B277"/>
    <mergeCell ref="C273:C277"/>
    <mergeCell ref="D273:D277"/>
    <mergeCell ref="B279:B283"/>
    <mergeCell ref="C279:C283"/>
    <mergeCell ref="D279:D283"/>
    <mergeCell ref="A266:A268"/>
    <mergeCell ref="B266:B268"/>
    <mergeCell ref="C266:C268"/>
    <mergeCell ref="D266:D268"/>
    <mergeCell ref="A269:A271"/>
    <mergeCell ref="C269:C271"/>
    <mergeCell ref="D269:D271"/>
    <mergeCell ref="B254:B256"/>
    <mergeCell ref="C254:C256"/>
    <mergeCell ref="D254:D256"/>
    <mergeCell ref="A260:A263"/>
    <mergeCell ref="B260:B263"/>
    <mergeCell ref="C260:C263"/>
    <mergeCell ref="D260:D263"/>
    <mergeCell ref="B246:B247"/>
    <mergeCell ref="C246:C247"/>
    <mergeCell ref="D246:D247"/>
    <mergeCell ref="B252:B253"/>
    <mergeCell ref="C252:C253"/>
    <mergeCell ref="D252:D253"/>
    <mergeCell ref="B237:B239"/>
    <mergeCell ref="C237:C239"/>
    <mergeCell ref="D237:D239"/>
    <mergeCell ref="B244:B245"/>
    <mergeCell ref="C244:C245"/>
    <mergeCell ref="D244:D245"/>
    <mergeCell ref="B232:B233"/>
    <mergeCell ref="C232:C233"/>
    <mergeCell ref="D232:D233"/>
    <mergeCell ref="B234:B235"/>
    <mergeCell ref="C234:C235"/>
    <mergeCell ref="D234:D235"/>
    <mergeCell ref="A222:A225"/>
    <mergeCell ref="B222:B225"/>
    <mergeCell ref="C222:C225"/>
    <mergeCell ref="D222:D225"/>
    <mergeCell ref="A226:A231"/>
    <mergeCell ref="B226:B231"/>
    <mergeCell ref="C226:C231"/>
    <mergeCell ref="D226:D231"/>
    <mergeCell ref="B211:B212"/>
    <mergeCell ref="C211:C212"/>
    <mergeCell ref="D211:D212"/>
    <mergeCell ref="A216:A221"/>
    <mergeCell ref="B216:B221"/>
    <mergeCell ref="C216:C221"/>
    <mergeCell ref="D216:D221"/>
    <mergeCell ref="A203:A205"/>
    <mergeCell ref="B203:B205"/>
    <mergeCell ref="C203:C205"/>
    <mergeCell ref="D203:D205"/>
    <mergeCell ref="B206:B210"/>
    <mergeCell ref="C206:C210"/>
    <mergeCell ref="D206:D210"/>
    <mergeCell ref="A196:A197"/>
    <mergeCell ref="B196:B197"/>
    <mergeCell ref="C196:C197"/>
    <mergeCell ref="D196:D197"/>
    <mergeCell ref="A200:A201"/>
    <mergeCell ref="B200:B201"/>
    <mergeCell ref="C200:C201"/>
    <mergeCell ref="D200:D201"/>
    <mergeCell ref="A190:A192"/>
    <mergeCell ref="B190:B192"/>
    <mergeCell ref="C190:C192"/>
    <mergeCell ref="D190:D192"/>
    <mergeCell ref="B193:B195"/>
    <mergeCell ref="C193:C195"/>
    <mergeCell ref="D193:D195"/>
    <mergeCell ref="A180:A181"/>
    <mergeCell ref="B180:B181"/>
    <mergeCell ref="C180:C181"/>
    <mergeCell ref="D180:D181"/>
    <mergeCell ref="A184:A187"/>
    <mergeCell ref="B184:B187"/>
    <mergeCell ref="C184:C187"/>
    <mergeCell ref="D184:D187"/>
    <mergeCell ref="A168:A172"/>
    <mergeCell ref="B168:B172"/>
    <mergeCell ref="C168:C172"/>
    <mergeCell ref="D168:D172"/>
    <mergeCell ref="B175:B176"/>
    <mergeCell ref="C175:C176"/>
    <mergeCell ref="D175:D176"/>
    <mergeCell ref="B158:B163"/>
    <mergeCell ref="C158:C163"/>
    <mergeCell ref="D158:D163"/>
    <mergeCell ref="B164:B167"/>
    <mergeCell ref="C164:C167"/>
    <mergeCell ref="D164:D167"/>
    <mergeCell ref="C149:C150"/>
    <mergeCell ref="D149:D150"/>
    <mergeCell ref="C153:C154"/>
    <mergeCell ref="D153:D154"/>
    <mergeCell ref="B156:B157"/>
    <mergeCell ref="C156:C157"/>
    <mergeCell ref="D156:D157"/>
    <mergeCell ref="B144:B146"/>
    <mergeCell ref="C144:C146"/>
    <mergeCell ref="D144:D146"/>
    <mergeCell ref="B147:B148"/>
    <mergeCell ref="C147:C148"/>
    <mergeCell ref="D147:D148"/>
    <mergeCell ref="B137:B138"/>
    <mergeCell ref="C137:C138"/>
    <mergeCell ref="D137:D138"/>
    <mergeCell ref="B139:B140"/>
    <mergeCell ref="C139:C140"/>
    <mergeCell ref="D139:D140"/>
    <mergeCell ref="B131:B132"/>
    <mergeCell ref="C131:C132"/>
    <mergeCell ref="D131:D132"/>
    <mergeCell ref="B133:B134"/>
    <mergeCell ref="C133:C134"/>
    <mergeCell ref="D133:D134"/>
    <mergeCell ref="B126:B127"/>
    <mergeCell ref="C126:C127"/>
    <mergeCell ref="D126:D127"/>
    <mergeCell ref="B129:B130"/>
    <mergeCell ref="C129:C130"/>
    <mergeCell ref="D129:D130"/>
    <mergeCell ref="B115:B116"/>
    <mergeCell ref="C115:C116"/>
    <mergeCell ref="D115:D116"/>
    <mergeCell ref="B117:B118"/>
    <mergeCell ref="C117:C118"/>
    <mergeCell ref="D117:D118"/>
    <mergeCell ref="A105:A106"/>
    <mergeCell ref="B105:B106"/>
    <mergeCell ref="C105:C106"/>
    <mergeCell ref="D105:D106"/>
    <mergeCell ref="A112:A113"/>
    <mergeCell ref="B112:B113"/>
    <mergeCell ref="C112:C113"/>
    <mergeCell ref="D112:D113"/>
    <mergeCell ref="A94:A95"/>
    <mergeCell ref="B94:B95"/>
    <mergeCell ref="C94:C95"/>
    <mergeCell ref="D94:D95"/>
    <mergeCell ref="A99:A101"/>
    <mergeCell ref="B99:B101"/>
    <mergeCell ref="C99:C101"/>
    <mergeCell ref="D99:D101"/>
    <mergeCell ref="A87:A88"/>
    <mergeCell ref="B87:B88"/>
    <mergeCell ref="C87:C88"/>
    <mergeCell ref="D87:D88"/>
    <mergeCell ref="A89:A90"/>
    <mergeCell ref="B89:B90"/>
    <mergeCell ref="C89:C90"/>
    <mergeCell ref="D89:D90"/>
    <mergeCell ref="A80:A81"/>
    <mergeCell ref="B80:B81"/>
    <mergeCell ref="C80:C81"/>
    <mergeCell ref="D80:D81"/>
    <mergeCell ref="A84:A85"/>
    <mergeCell ref="B84:B85"/>
    <mergeCell ref="C84:C85"/>
    <mergeCell ref="D84:D85"/>
    <mergeCell ref="A75:A77"/>
    <mergeCell ref="B75:B77"/>
    <mergeCell ref="C75:C77"/>
    <mergeCell ref="D75:D77"/>
    <mergeCell ref="A78:A79"/>
    <mergeCell ref="B78:B79"/>
    <mergeCell ref="C78:C79"/>
    <mergeCell ref="D78:D79"/>
    <mergeCell ref="A71:A72"/>
    <mergeCell ref="B71:B72"/>
    <mergeCell ref="C71:C72"/>
    <mergeCell ref="D71:D72"/>
    <mergeCell ref="A73:A74"/>
    <mergeCell ref="B73:B74"/>
    <mergeCell ref="C73:C74"/>
    <mergeCell ref="D73:D74"/>
    <mergeCell ref="A64:A67"/>
    <mergeCell ref="B64:B67"/>
    <mergeCell ref="C64:C67"/>
    <mergeCell ref="D64:D67"/>
    <mergeCell ref="A68:A69"/>
    <mergeCell ref="B68:B69"/>
    <mergeCell ref="C68:C69"/>
    <mergeCell ref="D68:D69"/>
    <mergeCell ref="A54:A62"/>
    <mergeCell ref="B54:B62"/>
    <mergeCell ref="C54:C56"/>
    <mergeCell ref="D54:D56"/>
    <mergeCell ref="C57:C59"/>
    <mergeCell ref="D57:D59"/>
    <mergeCell ref="C60:C62"/>
    <mergeCell ref="D60:D62"/>
    <mergeCell ref="A48:A50"/>
    <mergeCell ref="B48:B50"/>
    <mergeCell ref="C48:C50"/>
    <mergeCell ref="D48:D50"/>
    <mergeCell ref="B52:B53"/>
    <mergeCell ref="C52:C53"/>
    <mergeCell ref="D52:D53"/>
    <mergeCell ref="B41:B42"/>
    <mergeCell ref="C41:C42"/>
    <mergeCell ref="D41:D42"/>
    <mergeCell ref="A43:A46"/>
    <mergeCell ref="B43:B46"/>
    <mergeCell ref="C43:C46"/>
    <mergeCell ref="D43:D46"/>
    <mergeCell ref="A35:A36"/>
    <mergeCell ref="B35:B36"/>
    <mergeCell ref="C35:C36"/>
    <mergeCell ref="D35:D36"/>
    <mergeCell ref="A38:A39"/>
    <mergeCell ref="B38:B39"/>
    <mergeCell ref="C38:C39"/>
    <mergeCell ref="D38:D39"/>
    <mergeCell ref="A29:A30"/>
    <mergeCell ref="B29:B30"/>
    <mergeCell ref="C29:C30"/>
    <mergeCell ref="D29:D30"/>
    <mergeCell ref="A31:A32"/>
    <mergeCell ref="B31:B32"/>
    <mergeCell ref="C31:C32"/>
    <mergeCell ref="D31:D32"/>
    <mergeCell ref="A27:A28"/>
    <mergeCell ref="B27:B28"/>
    <mergeCell ref="C27:C28"/>
    <mergeCell ref="D27:D28"/>
    <mergeCell ref="A13:A14"/>
    <mergeCell ref="B13:B14"/>
    <mergeCell ref="C13:C14"/>
    <mergeCell ref="D13:D14"/>
    <mergeCell ref="A18:A19"/>
    <mergeCell ref="B18:B19"/>
    <mergeCell ref="C18:C19"/>
    <mergeCell ref="D18:D19"/>
    <mergeCell ref="A5:A10"/>
    <mergeCell ref="B5:B10"/>
    <mergeCell ref="C5:C10"/>
    <mergeCell ref="D5:D10"/>
    <mergeCell ref="A11:A12"/>
    <mergeCell ref="B11:B12"/>
    <mergeCell ref="C11:C12"/>
    <mergeCell ref="D11:D12"/>
    <mergeCell ref="A21:A26"/>
    <mergeCell ref="B21:B26"/>
    <mergeCell ref="C21:C26"/>
    <mergeCell ref="D21:D26"/>
    <mergeCell ref="A1:R1"/>
    <mergeCell ref="B2:B4"/>
    <mergeCell ref="E2:E4"/>
    <mergeCell ref="F2:F4"/>
    <mergeCell ref="G2:G4"/>
    <mergeCell ref="H2:J2"/>
    <mergeCell ref="K2:M2"/>
    <mergeCell ref="H3:H4"/>
    <mergeCell ref="I3:J3"/>
    <mergeCell ref="K3:K4"/>
    <mergeCell ref="L3:M3"/>
  </mergeCells>
  <pageMargins left="0.15748031496062992" right="0.19685039370078741" top="0.27559055118110237" bottom="0.19685039370078741" header="0.31496062992125984" footer="0.19685039370078741"/>
  <pageSetup scale="15" fitToWidth="7" fitToHeight="9" orientation="landscape" horizontalDpi="4294967295" verticalDpi="4294967295" r:id="rId1"/>
  <headerFooter alignWithMargins="0">
    <oddFooter>&amp;C&amp;"Arial,Regular"&amp;36&amp;Z&amp;F</oddFooter>
  </headerFooter>
  <rowBreaks count="4" manualBreakCount="4">
    <brk id="72" max="13" man="1"/>
    <brk id="107" max="13" man="1"/>
    <brk id="275" max="15" man="1"/>
    <brk id="285"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CPP </vt:lpstr>
      <vt:lpstr>OA Consumer</vt:lpstr>
      <vt:lpstr>Obligated OA Consumer (3)</vt:lpstr>
      <vt:lpstr>'CPP '!Print_Area</vt:lpstr>
      <vt:lpstr>'OA Consumer'!Print_Area</vt:lpstr>
      <vt:lpstr>'Obligated OA Consumer (3)'!Print_Area</vt:lpstr>
      <vt:lpstr>'OA Consumer'!Print_Titles</vt:lpstr>
      <vt:lpstr>'Obligated OA Consumer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Dhanashree Kumbhar</dc:creator>
  <cp:lastModifiedBy>Raviraj Kadam</cp:lastModifiedBy>
  <cp:lastPrinted>2023-12-14T10:26:15Z</cp:lastPrinted>
  <dcterms:created xsi:type="dcterms:W3CDTF">2023-06-27T07:15:21Z</dcterms:created>
  <dcterms:modified xsi:type="dcterms:W3CDTF">2024-08-22T11:53:36Z</dcterms:modified>
</cp:coreProperties>
</file>